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/Users/natalia/Desktop/AMISI/amisi/DOC AMISI/"/>
    </mc:Choice>
  </mc:AlternateContent>
  <xr:revisionPtr revIDLastSave="0" documentId="13_ncr:1_{33D1ABC2-3942-CF49-9EC0-EC2055124632}" xr6:coauthVersionLast="47" xr6:coauthVersionMax="47" xr10:uidLastSave="{00000000-0000-0000-0000-000000000000}"/>
  <bookViews>
    <workbookView xWindow="0" yWindow="500" windowWidth="28800" windowHeight="16080" tabRatio="852" xr2:uid="{00000000-000D-0000-FFFF-FFFF00000000}"/>
  </bookViews>
  <sheets>
    <sheet name="Fondazione" sheetId="1" r:id="rId1"/>
    <sheet name="Fisso" sheetId="2" r:id="rId2"/>
    <sheet name="Circolante" sheetId="3" r:id="rId3"/>
    <sheet name="Necessità" sheetId="4" r:id="rId4"/>
    <sheet name="Costi" sheetId="5" r:id="rId5"/>
    <sheet name="Prezzi" sheetId="6" r:id="rId6"/>
    <sheet name="Commercio" sheetId="7" r:id="rId7"/>
    <sheet name="Produzione" sheetId="8" r:id="rId8"/>
    <sheet name="Tes.1°" sheetId="12" r:id="rId9"/>
    <sheet name="Tes.2°" sheetId="13" r:id="rId10"/>
    <sheet name="Tes.3°" sheetId="14" r:id="rId11"/>
    <sheet name="Flusso" sheetId="16" r:id="rId12"/>
    <sheet name="Parametri" sheetId="15" r:id="rId13"/>
  </sheets>
  <externalReferences>
    <externalReference r:id="rId14"/>
  </externalReferences>
  <definedNames>
    <definedName name="_xlnm.Print_Area" localSheetId="2">Circolante!$A$1:$D$59</definedName>
    <definedName name="_xlnm.Print_Area" localSheetId="6">Commercio!$A$1:$K$59</definedName>
    <definedName name="_xlnm.Print_Area" localSheetId="4">Costi!$A$1:$G$120</definedName>
    <definedName name="_xlnm.Print_Area" localSheetId="1">Fisso!$A$1:$C$65</definedName>
    <definedName name="_xlnm.Print_Area" localSheetId="11">Flusso!$A$1:$G$41</definedName>
    <definedName name="_xlnm.Print_Area" localSheetId="0">Fondazione!$A$1:$C$65</definedName>
    <definedName name="_xlnm.Print_Area" localSheetId="3">Necessità!$A$1:$E$54</definedName>
    <definedName name="_xlnm.Print_Area" localSheetId="12">Parametri!$A$1:$G$61</definedName>
    <definedName name="_xlnm.Print_Area" localSheetId="5">Prezzi!$A$1:$P$82</definedName>
    <definedName name="_xlnm.Print_Area" localSheetId="7">Produzione!$A$1:$Y$223</definedName>
    <definedName name="_xlnm.Print_Area" localSheetId="8">Tes.1°!$A$1:$O$88</definedName>
    <definedName name="_xlnm.Print_Area" localSheetId="9">Tes.2°!$A$1:$O$85</definedName>
    <definedName name="_xlnm.Print_Area" localSheetId="10">Tes.3°!$A$1:$O$42</definedName>
  </definedNames>
  <calcPr calcId="191029"/>
</workbook>
</file>

<file path=xl/calcChain.xml><?xml version="1.0" encoding="utf-8"?>
<calcChain xmlns="http://schemas.openxmlformats.org/spreadsheetml/2006/main">
  <c r="G1" i="15" l="1"/>
  <c r="G1" i="16"/>
  <c r="N1" i="14"/>
  <c r="A85" i="13"/>
  <c r="N1" i="13"/>
  <c r="N1" i="12"/>
  <c r="O45" i="12"/>
  <c r="Y168" i="8"/>
  <c r="Y111" i="8"/>
  <c r="Y60" i="8"/>
  <c r="X1" i="8"/>
  <c r="K1" i="7"/>
  <c r="P42" i="6"/>
  <c r="P1" i="6"/>
  <c r="G61" i="5"/>
  <c r="G1" i="5"/>
  <c r="E1" i="4"/>
  <c r="D2" i="3"/>
  <c r="C1" i="2"/>
  <c r="C1" i="1"/>
  <c r="P1" i="7"/>
  <c r="X1" i="6"/>
  <c r="M4" i="7"/>
  <c r="N4" i="7"/>
  <c r="O4" i="7"/>
  <c r="P4" i="7"/>
  <c r="T4" i="7"/>
  <c r="M5" i="7"/>
  <c r="N5" i="7"/>
  <c r="O5" i="7"/>
  <c r="M6" i="7"/>
  <c r="N6" i="7"/>
  <c r="M7" i="7"/>
  <c r="N7" i="7"/>
  <c r="O7" i="7"/>
  <c r="P7" i="7"/>
  <c r="M8" i="7"/>
  <c r="N8" i="7"/>
  <c r="M9" i="7"/>
  <c r="N9" i="7"/>
  <c r="O9" i="7"/>
  <c r="M10" i="7"/>
  <c r="N10" i="7"/>
  <c r="M11" i="7"/>
  <c r="N11" i="7"/>
  <c r="O11" i="7"/>
  <c r="P11" i="7"/>
  <c r="M12" i="7"/>
  <c r="N12" i="7"/>
  <c r="O12" i="7"/>
  <c r="P12" i="7"/>
  <c r="M13" i="7"/>
  <c r="N13" i="7"/>
  <c r="O13" i="7"/>
  <c r="M14" i="7"/>
  <c r="N14" i="7"/>
  <c r="M15" i="7"/>
  <c r="N15" i="7"/>
  <c r="O15" i="7"/>
  <c r="P15" i="7"/>
  <c r="M16" i="7"/>
  <c r="N16" i="7"/>
  <c r="O16" i="7"/>
  <c r="M17" i="7"/>
  <c r="N17" i="7"/>
  <c r="O17" i="7"/>
  <c r="P17" i="7"/>
  <c r="T17" i="7"/>
  <c r="M18" i="7"/>
  <c r="N18" i="7"/>
  <c r="M19" i="7"/>
  <c r="N19" i="7"/>
  <c r="O19" i="7"/>
  <c r="P19" i="7"/>
  <c r="M20" i="7"/>
  <c r="N20" i="7"/>
  <c r="O20" i="7"/>
  <c r="M21" i="7"/>
  <c r="N21" i="7"/>
  <c r="O21" i="7"/>
  <c r="P21" i="7"/>
  <c r="M22" i="7"/>
  <c r="N22" i="7"/>
  <c r="M23" i="7"/>
  <c r="N23" i="7"/>
  <c r="O23" i="7"/>
  <c r="P23" i="7"/>
  <c r="M24" i="7"/>
  <c r="N24" i="7"/>
  <c r="M25" i="7"/>
  <c r="N25" i="7"/>
  <c r="O25" i="7"/>
  <c r="P25" i="7"/>
  <c r="M26" i="7"/>
  <c r="N26" i="7"/>
  <c r="M27" i="7"/>
  <c r="N27" i="7"/>
  <c r="O27" i="7"/>
  <c r="P27" i="7"/>
  <c r="M28" i="7"/>
  <c r="N28" i="7"/>
  <c r="O28" i="7"/>
  <c r="P28" i="7"/>
  <c r="M29" i="7"/>
  <c r="N29" i="7"/>
  <c r="O29" i="7"/>
  <c r="P29" i="7"/>
  <c r="M30" i="7"/>
  <c r="N30" i="7"/>
  <c r="M31" i="7"/>
  <c r="N31" i="7"/>
  <c r="O31" i="7"/>
  <c r="P31" i="7"/>
  <c r="M32" i="7"/>
  <c r="N32" i="7"/>
  <c r="M33" i="7"/>
  <c r="N33" i="7"/>
  <c r="O33" i="7"/>
  <c r="P33" i="7"/>
  <c r="M34" i="7"/>
  <c r="N34" i="7"/>
  <c r="M35" i="7"/>
  <c r="N35" i="7"/>
  <c r="O35" i="7"/>
  <c r="P35" i="7"/>
  <c r="M36" i="7"/>
  <c r="N36" i="7"/>
  <c r="M37" i="7"/>
  <c r="N37" i="7"/>
  <c r="O37" i="7"/>
  <c r="M38" i="7"/>
  <c r="N38" i="7"/>
  <c r="M39" i="7"/>
  <c r="N39" i="7"/>
  <c r="O39" i="7"/>
  <c r="P39" i="7"/>
  <c r="M40" i="7"/>
  <c r="N40" i="7"/>
  <c r="O40" i="7"/>
  <c r="M41" i="7"/>
  <c r="N41" i="7"/>
  <c r="O41" i="7"/>
  <c r="P41" i="7"/>
  <c r="M42" i="7"/>
  <c r="N42" i="7"/>
  <c r="M43" i="7"/>
  <c r="N43" i="7"/>
  <c r="O43" i="7"/>
  <c r="P43" i="7"/>
  <c r="M44" i="7"/>
  <c r="N44" i="7"/>
  <c r="M45" i="7"/>
  <c r="N45" i="7"/>
  <c r="O45" i="7"/>
  <c r="P45" i="7"/>
  <c r="M46" i="7"/>
  <c r="N46" i="7"/>
  <c r="M47" i="7"/>
  <c r="N47" i="7"/>
  <c r="O47" i="7"/>
  <c r="P47" i="7"/>
  <c r="M48" i="7"/>
  <c r="N48" i="7"/>
  <c r="O48" i="7"/>
  <c r="P48" i="7"/>
  <c r="T48" i="7"/>
  <c r="M49" i="7"/>
  <c r="N49" i="7"/>
  <c r="O49" i="7"/>
  <c r="P49" i="7"/>
  <c r="M50" i="7"/>
  <c r="N50" i="7"/>
  <c r="M51" i="7"/>
  <c r="N51" i="7"/>
  <c r="O51" i="7"/>
  <c r="P51" i="7"/>
  <c r="T51" i="7"/>
  <c r="M52" i="7"/>
  <c r="N52" i="7"/>
  <c r="M53" i="7"/>
  <c r="N53" i="7"/>
  <c r="O53" i="7"/>
  <c r="P53" i="7"/>
  <c r="O6" i="7"/>
  <c r="P6" i="7"/>
  <c r="T6" i="7"/>
  <c r="O8" i="7"/>
  <c r="P8" i="7"/>
  <c r="O10" i="7"/>
  <c r="O14" i="7"/>
  <c r="O18" i="7"/>
  <c r="P18" i="7"/>
  <c r="O22" i="7"/>
  <c r="P22" i="7"/>
  <c r="T22" i="7"/>
  <c r="O24" i="7"/>
  <c r="P24" i="7"/>
  <c r="O26" i="7"/>
  <c r="O30" i="7"/>
  <c r="O32" i="7"/>
  <c r="O34" i="7"/>
  <c r="O36" i="7"/>
  <c r="P36" i="7"/>
  <c r="O38" i="7"/>
  <c r="P38" i="7"/>
  <c r="O42" i="7"/>
  <c r="P42" i="7"/>
  <c r="T42" i="7"/>
  <c r="O44" i="7"/>
  <c r="P44" i="7"/>
  <c r="O46" i="7"/>
  <c r="P46" i="7"/>
  <c r="O50" i="7"/>
  <c r="O52" i="7"/>
  <c r="P52" i="7"/>
  <c r="P50" i="7"/>
  <c r="P40" i="7"/>
  <c r="P37" i="7"/>
  <c r="P34" i="7"/>
  <c r="T34" i="7"/>
  <c r="P32" i="7"/>
  <c r="T32" i="7"/>
  <c r="P30" i="7"/>
  <c r="P26" i="7"/>
  <c r="T26" i="7"/>
  <c r="P20" i="7"/>
  <c r="P16" i="7"/>
  <c r="T16" i="7"/>
  <c r="P13" i="7"/>
  <c r="P10" i="7"/>
  <c r="T10" i="7"/>
  <c r="P9" i="7"/>
  <c r="P5" i="7"/>
  <c r="T5" i="7"/>
  <c r="T7" i="7"/>
  <c r="T11" i="7"/>
  <c r="T13" i="7"/>
  <c r="T15" i="7"/>
  <c r="T20" i="7"/>
  <c r="T27" i="7"/>
  <c r="T28" i="7"/>
  <c r="T35" i="7"/>
  <c r="T40" i="7"/>
  <c r="T44" i="7"/>
  <c r="T45" i="7"/>
  <c r="T47" i="7"/>
  <c r="T50" i="7"/>
  <c r="T52" i="7"/>
  <c r="AL5" i="7"/>
  <c r="AL6" i="7"/>
  <c r="AL7" i="7"/>
  <c r="AL9" i="7"/>
  <c r="AL12" i="7"/>
  <c r="AL11" i="7"/>
  <c r="AL13" i="7"/>
  <c r="AL14" i="7"/>
  <c r="AL15" i="7"/>
  <c r="AL16" i="7"/>
  <c r="AL17" i="7"/>
  <c r="AL18" i="7"/>
  <c r="AL19" i="7"/>
  <c r="AL21" i="7"/>
  <c r="AL8" i="7"/>
  <c r="AL22" i="7"/>
  <c r="AL23" i="7"/>
  <c r="AL24" i="7"/>
  <c r="AL25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10" i="7"/>
  <c r="AL20" i="7"/>
  <c r="AL4" i="7"/>
  <c r="AL26" i="7"/>
  <c r="AL27" i="7"/>
  <c r="AL28" i="7"/>
  <c r="K6" i="7"/>
  <c r="K7" i="7"/>
  <c r="K9" i="7"/>
  <c r="K12" i="7"/>
  <c r="K11" i="7"/>
  <c r="K13" i="7"/>
  <c r="K14" i="7"/>
  <c r="K15" i="7"/>
  <c r="K16" i="7"/>
  <c r="K17" i="7"/>
  <c r="K18" i="7"/>
  <c r="K19" i="7"/>
  <c r="K21" i="7"/>
  <c r="K8" i="7"/>
  <c r="K22" i="7"/>
  <c r="K23" i="7"/>
  <c r="K24" i="7"/>
  <c r="K25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10" i="7"/>
  <c r="K20" i="7"/>
  <c r="K4" i="7"/>
  <c r="K26" i="7"/>
  <c r="K27" i="7"/>
  <c r="K28" i="7"/>
  <c r="K5" i="7"/>
  <c r="I5" i="7"/>
  <c r="I6" i="7"/>
  <c r="I7" i="7"/>
  <c r="I9" i="7"/>
  <c r="I12" i="7"/>
  <c r="I11" i="7"/>
  <c r="I13" i="7"/>
  <c r="I14" i="7"/>
  <c r="I15" i="7"/>
  <c r="I16" i="7"/>
  <c r="I17" i="7"/>
  <c r="I18" i="7"/>
  <c r="I19" i="7"/>
  <c r="I21" i="7"/>
  <c r="I8" i="7"/>
  <c r="I22" i="7"/>
  <c r="I23" i="7"/>
  <c r="I24" i="7"/>
  <c r="I25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10" i="7"/>
  <c r="I20" i="7"/>
  <c r="I4" i="7"/>
  <c r="I26" i="7"/>
  <c r="I27" i="7"/>
  <c r="I28" i="7"/>
  <c r="Q4" i="8"/>
  <c r="Q5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N171" i="8"/>
  <c r="N172" i="8"/>
  <c r="N173" i="8"/>
  <c r="N174" i="8"/>
  <c r="N175" i="8"/>
  <c r="B174" i="8"/>
  <c r="R45" i="6"/>
  <c r="R46" i="6"/>
  <c r="N176" i="8"/>
  <c r="B179" i="8"/>
  <c r="N177" i="8"/>
  <c r="N178" i="8"/>
  <c r="N179" i="8"/>
  <c r="N180" i="8"/>
  <c r="R49" i="6"/>
  <c r="N181" i="8"/>
  <c r="N182" i="8"/>
  <c r="N183" i="8"/>
  <c r="N184" i="8"/>
  <c r="N185" i="8"/>
  <c r="B184" i="8"/>
  <c r="R51" i="6"/>
  <c r="R52" i="6"/>
  <c r="N186" i="8"/>
  <c r="B189" i="8"/>
  <c r="N187" i="8"/>
  <c r="N188" i="8"/>
  <c r="N189" i="8"/>
  <c r="N190" i="8"/>
  <c r="R55" i="6"/>
  <c r="N191" i="8"/>
  <c r="N192" i="8"/>
  <c r="N193" i="8"/>
  <c r="N194" i="8"/>
  <c r="N195" i="8"/>
  <c r="B194" i="8"/>
  <c r="R57" i="6"/>
  <c r="R58" i="6"/>
  <c r="N28" i="6"/>
  <c r="O28" i="6"/>
  <c r="J5" i="7"/>
  <c r="J6" i="7"/>
  <c r="J7" i="7"/>
  <c r="J9" i="7"/>
  <c r="J12" i="7"/>
  <c r="J11" i="7"/>
  <c r="J13" i="7"/>
  <c r="J14" i="7"/>
  <c r="J15" i="7"/>
  <c r="J16" i="7"/>
  <c r="J17" i="7"/>
  <c r="J18" i="7"/>
  <c r="J19" i="7"/>
  <c r="J21" i="7"/>
  <c r="J8" i="7"/>
  <c r="J22" i="7"/>
  <c r="J23" i="7"/>
  <c r="J24" i="7"/>
  <c r="J25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10" i="7"/>
  <c r="J20" i="7"/>
  <c r="J4" i="7"/>
  <c r="J26" i="7"/>
  <c r="J27" i="7"/>
  <c r="J28" i="7"/>
  <c r="C8" i="1"/>
  <c r="E4" i="4"/>
  <c r="C15" i="1"/>
  <c r="E5" i="4"/>
  <c r="D109" i="5"/>
  <c r="D108" i="5"/>
  <c r="D104" i="5"/>
  <c r="D105" i="5"/>
  <c r="D106" i="5"/>
  <c r="D107" i="5"/>
  <c r="J93" i="5"/>
  <c r="E96" i="5"/>
  <c r="E97" i="5"/>
  <c r="K93" i="5"/>
  <c r="J94" i="5"/>
  <c r="J92" i="5"/>
  <c r="K94" i="5"/>
  <c r="F96" i="5"/>
  <c r="F97" i="5"/>
  <c r="D15" i="3"/>
  <c r="B5" i="12"/>
  <c r="B35" i="12"/>
  <c r="B40" i="12"/>
  <c r="B39" i="12"/>
  <c r="N10" i="12"/>
  <c r="B10" i="12"/>
  <c r="B12" i="12"/>
  <c r="B13" i="12"/>
  <c r="B14" i="12"/>
  <c r="B15" i="12"/>
  <c r="N16" i="12"/>
  <c r="B16" i="12"/>
  <c r="N17" i="12"/>
  <c r="B17" i="12"/>
  <c r="N19" i="12"/>
  <c r="B19" i="12"/>
  <c r="B20" i="12"/>
  <c r="N21" i="12"/>
  <c r="B21" i="12"/>
  <c r="B22" i="12"/>
  <c r="B23" i="12"/>
  <c r="B24" i="12"/>
  <c r="B25" i="12"/>
  <c r="B26" i="12"/>
  <c r="B27" i="12"/>
  <c r="N28" i="12"/>
  <c r="N29" i="12"/>
  <c r="C29" i="12"/>
  <c r="N30" i="12"/>
  <c r="N31" i="12"/>
  <c r="B31" i="12"/>
  <c r="B32" i="12"/>
  <c r="N33" i="12"/>
  <c r="B33" i="12"/>
  <c r="B34" i="12"/>
  <c r="B36" i="12"/>
  <c r="B37" i="12"/>
  <c r="C5" i="12"/>
  <c r="C35" i="12"/>
  <c r="C40" i="12"/>
  <c r="C39" i="12"/>
  <c r="C10" i="12"/>
  <c r="C12" i="12"/>
  <c r="C13" i="12"/>
  <c r="C14" i="12"/>
  <c r="C15" i="12"/>
  <c r="C16" i="12"/>
  <c r="C17" i="12"/>
  <c r="C19" i="12"/>
  <c r="C20" i="12"/>
  <c r="C21" i="12"/>
  <c r="N22" i="12"/>
  <c r="C22" i="12"/>
  <c r="C23" i="12"/>
  <c r="C24" i="12"/>
  <c r="C25" i="12"/>
  <c r="C26" i="12"/>
  <c r="C27" i="12"/>
  <c r="C32" i="12"/>
  <c r="C33" i="12"/>
  <c r="C34" i="12"/>
  <c r="C36" i="12"/>
  <c r="C37" i="12"/>
  <c r="D5" i="12"/>
  <c r="D35" i="12"/>
  <c r="D40" i="12"/>
  <c r="D39" i="12"/>
  <c r="D10" i="12"/>
  <c r="D13" i="12"/>
  <c r="D15" i="12"/>
  <c r="D16" i="12"/>
  <c r="D17" i="12"/>
  <c r="D19" i="12"/>
  <c r="D20" i="12"/>
  <c r="D21" i="12"/>
  <c r="D22" i="12"/>
  <c r="D24" i="12"/>
  <c r="N25" i="12"/>
  <c r="D25" i="12"/>
  <c r="D26" i="12"/>
  <c r="D27" i="12"/>
  <c r="D29" i="12"/>
  <c r="D31" i="12"/>
  <c r="N32" i="12"/>
  <c r="D32" i="12"/>
  <c r="D33" i="12"/>
  <c r="D34" i="12"/>
  <c r="D36" i="12"/>
  <c r="D37" i="12"/>
  <c r="E5" i="12"/>
  <c r="E35" i="12"/>
  <c r="E40" i="12"/>
  <c r="E39" i="12"/>
  <c r="E10" i="12"/>
  <c r="E12" i="12"/>
  <c r="E13" i="12"/>
  <c r="E14" i="12"/>
  <c r="E15" i="12"/>
  <c r="E16" i="12"/>
  <c r="E17" i="12"/>
  <c r="E19" i="12"/>
  <c r="E20" i="12"/>
  <c r="E21" i="12"/>
  <c r="E22" i="12"/>
  <c r="E23" i="12"/>
  <c r="E24" i="12"/>
  <c r="E25" i="12"/>
  <c r="E26" i="12"/>
  <c r="E27" i="12"/>
  <c r="E29" i="12"/>
  <c r="E31" i="12"/>
  <c r="E32" i="12"/>
  <c r="E33" i="12"/>
  <c r="E34" i="12"/>
  <c r="E36" i="12"/>
  <c r="E37" i="12"/>
  <c r="F5" i="12"/>
  <c r="F35" i="12"/>
  <c r="F40" i="12"/>
  <c r="F39" i="12"/>
  <c r="F10" i="12"/>
  <c r="F12" i="12"/>
  <c r="F13" i="12"/>
  <c r="F14" i="12"/>
  <c r="F15" i="12"/>
  <c r="F16" i="12"/>
  <c r="F17" i="12"/>
  <c r="F19" i="12"/>
  <c r="F20" i="12"/>
  <c r="F21" i="12"/>
  <c r="F22" i="12"/>
  <c r="F23" i="12"/>
  <c r="F24" i="12"/>
  <c r="F25" i="12"/>
  <c r="F26" i="12"/>
  <c r="F27" i="12"/>
  <c r="F29" i="12"/>
  <c r="F30" i="12"/>
  <c r="F31" i="12"/>
  <c r="F32" i="12"/>
  <c r="F33" i="12"/>
  <c r="F34" i="12"/>
  <c r="F36" i="12"/>
  <c r="F37" i="12"/>
  <c r="G5" i="12"/>
  <c r="G40" i="12"/>
  <c r="G39" i="12"/>
  <c r="G10" i="12"/>
  <c r="G15" i="12"/>
  <c r="G16" i="12"/>
  <c r="G17" i="12"/>
  <c r="G19" i="12"/>
  <c r="N20" i="12"/>
  <c r="G20" i="12"/>
  <c r="G21" i="12"/>
  <c r="G22" i="12"/>
  <c r="G24" i="12"/>
  <c r="G25" i="12"/>
  <c r="N26" i="12"/>
  <c r="G26" i="12"/>
  <c r="G27" i="12"/>
  <c r="G29" i="12"/>
  <c r="G31" i="12"/>
  <c r="G32" i="12"/>
  <c r="G33" i="12"/>
  <c r="G34" i="12"/>
  <c r="G36" i="12"/>
  <c r="G37" i="12"/>
  <c r="H5" i="12"/>
  <c r="H35" i="12"/>
  <c r="H40" i="12"/>
  <c r="H39" i="12"/>
  <c r="H10" i="12"/>
  <c r="H12" i="12"/>
  <c r="H13" i="12"/>
  <c r="H14" i="12"/>
  <c r="H15" i="12"/>
  <c r="H16" i="12"/>
  <c r="H17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6" i="12"/>
  <c r="H37" i="12"/>
  <c r="I5" i="12"/>
  <c r="I35" i="12"/>
  <c r="I40" i="12"/>
  <c r="I39" i="12"/>
  <c r="I10" i="12"/>
  <c r="I12" i="12"/>
  <c r="I13" i="12"/>
  <c r="I14" i="12"/>
  <c r="I15" i="12"/>
  <c r="I16" i="12"/>
  <c r="I17" i="12"/>
  <c r="I19" i="12"/>
  <c r="I20" i="12"/>
  <c r="I21" i="12"/>
  <c r="I22" i="12"/>
  <c r="I23" i="12"/>
  <c r="I24" i="12"/>
  <c r="I25" i="12"/>
  <c r="I26" i="12"/>
  <c r="I27" i="12"/>
  <c r="I29" i="12"/>
  <c r="I30" i="12"/>
  <c r="I31" i="12"/>
  <c r="I32" i="12"/>
  <c r="I33" i="12"/>
  <c r="I34" i="12"/>
  <c r="I36" i="12"/>
  <c r="I37" i="12"/>
  <c r="J5" i="12"/>
  <c r="J35" i="12"/>
  <c r="J40" i="12"/>
  <c r="J39" i="12"/>
  <c r="J10" i="12"/>
  <c r="J13" i="12"/>
  <c r="J15" i="12"/>
  <c r="J16" i="12"/>
  <c r="J17" i="12"/>
  <c r="J19" i="12"/>
  <c r="J20" i="12"/>
  <c r="J21" i="12"/>
  <c r="J22" i="12"/>
  <c r="J24" i="12"/>
  <c r="J25" i="12"/>
  <c r="J26" i="12"/>
  <c r="J27" i="12"/>
  <c r="J28" i="12"/>
  <c r="J29" i="12"/>
  <c r="J30" i="12"/>
  <c r="J31" i="12"/>
  <c r="J32" i="12"/>
  <c r="J33" i="12"/>
  <c r="J34" i="12"/>
  <c r="J36" i="12"/>
  <c r="J37" i="12"/>
  <c r="K5" i="12"/>
  <c r="K35" i="12"/>
  <c r="K40" i="12"/>
  <c r="K39" i="12"/>
  <c r="K10" i="12"/>
  <c r="K12" i="12"/>
  <c r="K13" i="12"/>
  <c r="K14" i="12"/>
  <c r="K15" i="12"/>
  <c r="K16" i="12"/>
  <c r="K17" i="12"/>
  <c r="K19" i="12"/>
  <c r="K20" i="12"/>
  <c r="K21" i="12"/>
  <c r="K22" i="12"/>
  <c r="K23" i="12"/>
  <c r="K24" i="12"/>
  <c r="K25" i="12"/>
  <c r="K26" i="12"/>
  <c r="K27" i="12"/>
  <c r="K29" i="12"/>
  <c r="K30" i="12"/>
  <c r="K31" i="12"/>
  <c r="K32" i="12"/>
  <c r="K33" i="12"/>
  <c r="K34" i="12"/>
  <c r="K36" i="12"/>
  <c r="K37" i="12"/>
  <c r="L5" i="12"/>
  <c r="L35" i="12"/>
  <c r="L40" i="12"/>
  <c r="L39" i="12"/>
  <c r="L10" i="12"/>
  <c r="L12" i="12"/>
  <c r="L13" i="12"/>
  <c r="L14" i="12"/>
  <c r="L15" i="12"/>
  <c r="L16" i="12"/>
  <c r="L17" i="12"/>
  <c r="L19" i="12"/>
  <c r="L20" i="12"/>
  <c r="L21" i="12"/>
  <c r="L22" i="12"/>
  <c r="L23" i="12"/>
  <c r="L24" i="12"/>
  <c r="L25" i="12"/>
  <c r="L26" i="12"/>
  <c r="L27" i="12"/>
  <c r="L29" i="12"/>
  <c r="L30" i="12"/>
  <c r="L31" i="12"/>
  <c r="L32" i="12"/>
  <c r="L33" i="12"/>
  <c r="L34" i="12"/>
  <c r="L36" i="12"/>
  <c r="L37" i="12"/>
  <c r="M5" i="12"/>
  <c r="M10" i="12"/>
  <c r="M16" i="12"/>
  <c r="M17" i="12"/>
  <c r="M19" i="12"/>
  <c r="M20" i="12"/>
  <c r="M21" i="12"/>
  <c r="M22" i="12"/>
  <c r="M25" i="12"/>
  <c r="M26" i="12"/>
  <c r="N27" i="12"/>
  <c r="M27" i="12"/>
  <c r="M28" i="12"/>
  <c r="M29" i="12"/>
  <c r="M30" i="12"/>
  <c r="M31" i="12"/>
  <c r="M32" i="12"/>
  <c r="M33" i="12"/>
  <c r="N34" i="12"/>
  <c r="M34" i="12"/>
  <c r="B5" i="13"/>
  <c r="B35" i="13"/>
  <c r="B40" i="13"/>
  <c r="B39" i="13"/>
  <c r="N10" i="13"/>
  <c r="B10" i="13"/>
  <c r="B12" i="13"/>
  <c r="B13" i="13"/>
  <c r="B14" i="13"/>
  <c r="B15" i="13"/>
  <c r="N16" i="13"/>
  <c r="B16" i="13"/>
  <c r="N17" i="13"/>
  <c r="C17" i="13"/>
  <c r="B17" i="13"/>
  <c r="N19" i="13"/>
  <c r="B19" i="13"/>
  <c r="B20" i="13"/>
  <c r="N21" i="13"/>
  <c r="B21" i="13"/>
  <c r="N22" i="13"/>
  <c r="B22" i="13"/>
  <c r="B23" i="13"/>
  <c r="B24" i="13"/>
  <c r="B25" i="13"/>
  <c r="B26" i="13"/>
  <c r="B27" i="13"/>
  <c r="N28" i="13"/>
  <c r="C28" i="13"/>
  <c r="B28" i="13"/>
  <c r="N29" i="13"/>
  <c r="B29" i="13"/>
  <c r="N30" i="13"/>
  <c r="B30" i="13"/>
  <c r="N31" i="13"/>
  <c r="B31" i="13"/>
  <c r="B32" i="13"/>
  <c r="B33" i="13"/>
  <c r="B34" i="13"/>
  <c r="B36" i="13"/>
  <c r="B37" i="13"/>
  <c r="C5" i="13"/>
  <c r="C35" i="13"/>
  <c r="C40" i="13"/>
  <c r="C39" i="13"/>
  <c r="C10" i="13"/>
  <c r="C12" i="13"/>
  <c r="C13" i="13"/>
  <c r="C14" i="13"/>
  <c r="C15" i="13"/>
  <c r="C16" i="13"/>
  <c r="C19" i="13"/>
  <c r="C20" i="13"/>
  <c r="C21" i="13"/>
  <c r="C23" i="13"/>
  <c r="C24" i="13"/>
  <c r="C25" i="13"/>
  <c r="C26" i="13"/>
  <c r="C27" i="13"/>
  <c r="C30" i="13"/>
  <c r="C31" i="13"/>
  <c r="C32" i="13"/>
  <c r="C33" i="13"/>
  <c r="C34" i="13"/>
  <c r="C36" i="13"/>
  <c r="C37" i="13"/>
  <c r="D5" i="13"/>
  <c r="D35" i="13"/>
  <c r="D40" i="13"/>
  <c r="D39" i="13"/>
  <c r="D10" i="13"/>
  <c r="D13" i="13"/>
  <c r="D15" i="13"/>
  <c r="D16" i="13"/>
  <c r="D17" i="13"/>
  <c r="D19" i="13"/>
  <c r="D20" i="13"/>
  <c r="D21" i="13"/>
  <c r="D23" i="13"/>
  <c r="D24" i="13"/>
  <c r="N25" i="13"/>
  <c r="D25" i="13"/>
  <c r="D26" i="13"/>
  <c r="D27" i="13"/>
  <c r="D28" i="13"/>
  <c r="D29" i="13"/>
  <c r="D30" i="13"/>
  <c r="D31" i="13"/>
  <c r="N32" i="13"/>
  <c r="D32" i="13"/>
  <c r="D33" i="13"/>
  <c r="D34" i="13"/>
  <c r="D36" i="13"/>
  <c r="D37" i="13"/>
  <c r="E5" i="13"/>
  <c r="E35" i="13"/>
  <c r="E40" i="13"/>
  <c r="E39" i="13"/>
  <c r="E10" i="13"/>
  <c r="E12" i="13"/>
  <c r="E13" i="13"/>
  <c r="E14" i="13"/>
  <c r="E15" i="13"/>
  <c r="E16" i="13"/>
  <c r="E17" i="13"/>
  <c r="E19" i="13"/>
  <c r="E20" i="13"/>
  <c r="E21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6" i="13"/>
  <c r="E37" i="13"/>
  <c r="F5" i="13"/>
  <c r="F35" i="13"/>
  <c r="F40" i="13"/>
  <c r="F39" i="13"/>
  <c r="F10" i="13"/>
  <c r="F12" i="13"/>
  <c r="F13" i="13"/>
  <c r="F14" i="13"/>
  <c r="F15" i="13"/>
  <c r="F16" i="13"/>
  <c r="F17" i="13"/>
  <c r="F19" i="13"/>
  <c r="F20" i="13"/>
  <c r="F21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6" i="13"/>
  <c r="F37" i="13"/>
  <c r="G5" i="13"/>
  <c r="E30" i="4"/>
  <c r="G40" i="13"/>
  <c r="G39" i="13"/>
  <c r="G10" i="13"/>
  <c r="G15" i="13"/>
  <c r="G16" i="13"/>
  <c r="G17" i="13"/>
  <c r="G19" i="13"/>
  <c r="N20" i="13"/>
  <c r="G20" i="13"/>
  <c r="G21" i="13"/>
  <c r="G24" i="13"/>
  <c r="G25" i="13"/>
  <c r="N26" i="13"/>
  <c r="G26" i="13"/>
  <c r="G27" i="13"/>
  <c r="G28" i="13"/>
  <c r="G29" i="13"/>
  <c r="G30" i="13"/>
  <c r="G31" i="13"/>
  <c r="G32" i="13"/>
  <c r="N33" i="13"/>
  <c r="G33" i="13"/>
  <c r="G34" i="13"/>
  <c r="G36" i="13"/>
  <c r="G37" i="13"/>
  <c r="H5" i="13"/>
  <c r="H35" i="13"/>
  <c r="H40" i="13"/>
  <c r="H39" i="13"/>
  <c r="H10" i="13"/>
  <c r="H12" i="13"/>
  <c r="H13" i="13"/>
  <c r="H14" i="13"/>
  <c r="H15" i="13"/>
  <c r="H16" i="13"/>
  <c r="H17" i="13"/>
  <c r="H19" i="13"/>
  <c r="H20" i="13"/>
  <c r="H21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6" i="13"/>
  <c r="H37" i="13"/>
  <c r="I5" i="13"/>
  <c r="I35" i="13"/>
  <c r="I40" i="13"/>
  <c r="I39" i="13"/>
  <c r="I10" i="13"/>
  <c r="I12" i="13"/>
  <c r="I13" i="13"/>
  <c r="I14" i="13"/>
  <c r="I15" i="13"/>
  <c r="I16" i="13"/>
  <c r="I17" i="13"/>
  <c r="I19" i="13"/>
  <c r="I20" i="13"/>
  <c r="I21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6" i="13"/>
  <c r="I37" i="13"/>
  <c r="J5" i="13"/>
  <c r="J35" i="13"/>
  <c r="J40" i="13"/>
  <c r="J39" i="13"/>
  <c r="J10" i="13"/>
  <c r="J13" i="13"/>
  <c r="J15" i="13"/>
  <c r="J16" i="13"/>
  <c r="J17" i="13"/>
  <c r="J19" i="13"/>
  <c r="J20" i="13"/>
  <c r="J21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6" i="13"/>
  <c r="J37" i="13"/>
  <c r="K5" i="13"/>
  <c r="K35" i="13"/>
  <c r="K40" i="13"/>
  <c r="K39" i="13"/>
  <c r="K10" i="13"/>
  <c r="K12" i="13"/>
  <c r="K13" i="13"/>
  <c r="K14" i="13"/>
  <c r="K15" i="13"/>
  <c r="K16" i="13"/>
  <c r="K17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6" i="13"/>
  <c r="K37" i="13"/>
  <c r="L5" i="13"/>
  <c r="L35" i="13"/>
  <c r="L40" i="13"/>
  <c r="L39" i="13"/>
  <c r="L10" i="13"/>
  <c r="L12" i="13"/>
  <c r="L13" i="13"/>
  <c r="L14" i="13"/>
  <c r="L15" i="13"/>
  <c r="L16" i="13"/>
  <c r="L17" i="13"/>
  <c r="L19" i="13"/>
  <c r="L20" i="13"/>
  <c r="L21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6" i="13"/>
  <c r="L37" i="13"/>
  <c r="M5" i="13"/>
  <c r="M10" i="13"/>
  <c r="M16" i="13"/>
  <c r="M17" i="13"/>
  <c r="M19" i="13"/>
  <c r="M20" i="13"/>
  <c r="M21" i="13"/>
  <c r="M25" i="13"/>
  <c r="M26" i="13"/>
  <c r="N27" i="13"/>
  <c r="M27" i="13"/>
  <c r="M28" i="13"/>
  <c r="M29" i="13"/>
  <c r="M30" i="13"/>
  <c r="M31" i="13"/>
  <c r="M32" i="13"/>
  <c r="M33" i="13"/>
  <c r="N34" i="13"/>
  <c r="M34" i="13"/>
  <c r="B5" i="14"/>
  <c r="B35" i="14"/>
  <c r="B40" i="14"/>
  <c r="B39" i="14"/>
  <c r="N10" i="14"/>
  <c r="B10" i="14"/>
  <c r="B12" i="14"/>
  <c r="B13" i="14"/>
  <c r="B14" i="14"/>
  <c r="B15" i="14"/>
  <c r="N16" i="14"/>
  <c r="B16" i="14"/>
  <c r="N17" i="14"/>
  <c r="B17" i="14"/>
  <c r="N19" i="14"/>
  <c r="B19" i="14"/>
  <c r="B20" i="14"/>
  <c r="N21" i="14"/>
  <c r="B21" i="14"/>
  <c r="N22" i="14"/>
  <c r="B22" i="14"/>
  <c r="B23" i="14"/>
  <c r="B24" i="14"/>
  <c r="B25" i="14"/>
  <c r="B26" i="14"/>
  <c r="B27" i="14"/>
  <c r="N28" i="14"/>
  <c r="B28" i="14"/>
  <c r="N29" i="14"/>
  <c r="B29" i="14"/>
  <c r="N30" i="14"/>
  <c r="B30" i="14"/>
  <c r="N31" i="14"/>
  <c r="B31" i="14"/>
  <c r="B32" i="14"/>
  <c r="B33" i="14"/>
  <c r="B34" i="14"/>
  <c r="B36" i="14"/>
  <c r="B37" i="14"/>
  <c r="C5" i="14"/>
  <c r="C35" i="14"/>
  <c r="C40" i="14"/>
  <c r="C39" i="14"/>
  <c r="C10" i="14"/>
  <c r="C12" i="14"/>
  <c r="C13" i="14"/>
  <c r="C14" i="14"/>
  <c r="C15" i="14"/>
  <c r="C16" i="14"/>
  <c r="C17" i="14"/>
  <c r="C20" i="14"/>
  <c r="C21" i="14"/>
  <c r="C22" i="14"/>
  <c r="C23" i="14"/>
  <c r="C24" i="14"/>
  <c r="C25" i="14"/>
  <c r="C26" i="14"/>
  <c r="C27" i="14"/>
  <c r="C29" i="14"/>
  <c r="C30" i="14"/>
  <c r="C31" i="14"/>
  <c r="C32" i="14"/>
  <c r="C33" i="14"/>
  <c r="C34" i="14"/>
  <c r="C36" i="14"/>
  <c r="C37" i="14"/>
  <c r="D5" i="14"/>
  <c r="D35" i="14"/>
  <c r="D40" i="14"/>
  <c r="D39" i="14"/>
  <c r="D10" i="14"/>
  <c r="D13" i="14"/>
  <c r="D15" i="14"/>
  <c r="D16" i="14"/>
  <c r="D17" i="14"/>
  <c r="D19" i="14"/>
  <c r="D20" i="14"/>
  <c r="D21" i="14"/>
  <c r="D22" i="14"/>
  <c r="D23" i="14"/>
  <c r="D24" i="14"/>
  <c r="N25" i="14"/>
  <c r="D25" i="14"/>
  <c r="D26" i="14"/>
  <c r="D27" i="14"/>
  <c r="D28" i="14"/>
  <c r="D29" i="14"/>
  <c r="D30" i="14"/>
  <c r="D31" i="14"/>
  <c r="N32" i="14"/>
  <c r="D32" i="14"/>
  <c r="D33" i="14"/>
  <c r="D34" i="14"/>
  <c r="D36" i="14"/>
  <c r="D37" i="14"/>
  <c r="E5" i="14"/>
  <c r="E35" i="14"/>
  <c r="E40" i="14"/>
  <c r="E39" i="14"/>
  <c r="E10" i="14"/>
  <c r="E12" i="14"/>
  <c r="E13" i="14"/>
  <c r="E14" i="14"/>
  <c r="E15" i="14"/>
  <c r="E16" i="14"/>
  <c r="E17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6" i="14"/>
  <c r="E37" i="14"/>
  <c r="F5" i="14"/>
  <c r="F35" i="14"/>
  <c r="F40" i="14"/>
  <c r="F39" i="14"/>
  <c r="F10" i="14"/>
  <c r="F12" i="14"/>
  <c r="F13" i="14"/>
  <c r="F14" i="14"/>
  <c r="F15" i="14"/>
  <c r="F16" i="14"/>
  <c r="F17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6" i="14"/>
  <c r="F37" i="14"/>
  <c r="G5" i="14"/>
  <c r="J95" i="5"/>
  <c r="G96" i="5"/>
  <c r="K95" i="5"/>
  <c r="G40" i="14"/>
  <c r="G39" i="14"/>
  <c r="G10" i="14"/>
  <c r="G15" i="14"/>
  <c r="G16" i="14"/>
  <c r="G17" i="14"/>
  <c r="G19" i="14"/>
  <c r="N20" i="14"/>
  <c r="G20" i="14"/>
  <c r="G21" i="14"/>
  <c r="G22" i="14"/>
  <c r="G24" i="14"/>
  <c r="G25" i="14"/>
  <c r="N26" i="14"/>
  <c r="G26" i="14"/>
  <c r="G27" i="14"/>
  <c r="G28" i="14"/>
  <c r="G29" i="14"/>
  <c r="G30" i="14"/>
  <c r="G31" i="14"/>
  <c r="G32" i="14"/>
  <c r="N33" i="14"/>
  <c r="G33" i="14"/>
  <c r="G34" i="14"/>
  <c r="G36" i="14"/>
  <c r="G37" i="14"/>
  <c r="H5" i="14"/>
  <c r="H35" i="14"/>
  <c r="H40" i="14"/>
  <c r="H39" i="14"/>
  <c r="H10" i="14"/>
  <c r="H12" i="14"/>
  <c r="H13" i="14"/>
  <c r="H14" i="14"/>
  <c r="H15" i="14"/>
  <c r="H16" i="14"/>
  <c r="H17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6" i="14"/>
  <c r="H37" i="14"/>
  <c r="I5" i="14"/>
  <c r="I35" i="14"/>
  <c r="I40" i="14"/>
  <c r="I39" i="14"/>
  <c r="I10" i="14"/>
  <c r="I12" i="14"/>
  <c r="I13" i="14"/>
  <c r="I14" i="14"/>
  <c r="I15" i="14"/>
  <c r="I16" i="14"/>
  <c r="I17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6" i="14"/>
  <c r="I37" i="14"/>
  <c r="J5" i="14"/>
  <c r="J35" i="14"/>
  <c r="J40" i="14"/>
  <c r="J39" i="14"/>
  <c r="J10" i="14"/>
  <c r="J13" i="14"/>
  <c r="J15" i="14"/>
  <c r="J16" i="14"/>
  <c r="J17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6" i="14"/>
  <c r="J37" i="14"/>
  <c r="K5" i="14"/>
  <c r="K35" i="14"/>
  <c r="K40" i="14"/>
  <c r="K39" i="14"/>
  <c r="K10" i="14"/>
  <c r="K12" i="14"/>
  <c r="K13" i="14"/>
  <c r="K14" i="14"/>
  <c r="K15" i="14"/>
  <c r="K16" i="14"/>
  <c r="K17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6" i="14"/>
  <c r="K37" i="14"/>
  <c r="L5" i="14"/>
  <c r="L35" i="14"/>
  <c r="L40" i="14"/>
  <c r="L39" i="14"/>
  <c r="L10" i="14"/>
  <c r="L12" i="14"/>
  <c r="L13" i="14"/>
  <c r="L14" i="14"/>
  <c r="L15" i="14"/>
  <c r="L16" i="14"/>
  <c r="L17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6" i="14"/>
  <c r="L37" i="14"/>
  <c r="M5" i="14"/>
  <c r="M10" i="14"/>
  <c r="M16" i="14"/>
  <c r="M17" i="14"/>
  <c r="M19" i="14"/>
  <c r="M20" i="14"/>
  <c r="M21" i="14"/>
  <c r="M22" i="14"/>
  <c r="M25" i="14"/>
  <c r="M26" i="14"/>
  <c r="N27" i="14"/>
  <c r="M27" i="14"/>
  <c r="M28" i="14"/>
  <c r="M29" i="14"/>
  <c r="M30" i="14"/>
  <c r="M31" i="14"/>
  <c r="M32" i="14"/>
  <c r="M33" i="14"/>
  <c r="N34" i="14"/>
  <c r="M34" i="14"/>
  <c r="H4" i="3"/>
  <c r="B116" i="8"/>
  <c r="AC116" i="8"/>
  <c r="AE6" i="8"/>
  <c r="AF6" i="8"/>
  <c r="AG6" i="8"/>
  <c r="AE5" i="8"/>
  <c r="AF5" i="8"/>
  <c r="AG5" i="8"/>
  <c r="AE4" i="8"/>
  <c r="AF4" i="8"/>
  <c r="AG4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T116" i="8"/>
  <c r="E16" i="5"/>
  <c r="E19" i="5"/>
  <c r="N12" i="12"/>
  <c r="E21" i="5"/>
  <c r="J21" i="5"/>
  <c r="E25" i="5"/>
  <c r="F16" i="5"/>
  <c r="F21" i="5"/>
  <c r="K21" i="5"/>
  <c r="G16" i="5"/>
  <c r="G21" i="5"/>
  <c r="G24" i="5"/>
  <c r="N13" i="14"/>
  <c r="BS4" i="8"/>
  <c r="BS5" i="8"/>
  <c r="BS6" i="8"/>
  <c r="I4" i="3"/>
  <c r="J4" i="3"/>
  <c r="K4" i="3"/>
  <c r="L4" i="3"/>
  <c r="M4" i="3"/>
  <c r="N4" i="3"/>
  <c r="G4" i="3"/>
  <c r="AE1" i="8"/>
  <c r="Y1" i="6"/>
  <c r="C22" i="1"/>
  <c r="E6" i="4"/>
  <c r="C57" i="1"/>
  <c r="E11" i="4"/>
  <c r="T114" i="8"/>
  <c r="T115" i="8"/>
  <c r="B114" i="8"/>
  <c r="AC114" i="8"/>
  <c r="B115" i="8"/>
  <c r="AC115" i="8"/>
  <c r="F3" i="3"/>
  <c r="E12" i="15"/>
  <c r="V65" i="8"/>
  <c r="C166" i="8"/>
  <c r="AR65" i="8"/>
  <c r="AS65" i="8"/>
  <c r="AT65" i="8"/>
  <c r="AR66" i="8"/>
  <c r="AS66" i="8"/>
  <c r="AT66" i="8"/>
  <c r="AR67" i="8"/>
  <c r="AS67" i="8"/>
  <c r="AT67" i="8"/>
  <c r="AR68" i="8"/>
  <c r="AS68" i="8"/>
  <c r="AT68" i="8"/>
  <c r="AR69" i="8"/>
  <c r="AS69" i="8"/>
  <c r="AT69" i="8"/>
  <c r="AR70" i="8"/>
  <c r="AS70" i="8"/>
  <c r="AT70" i="8"/>
  <c r="AR71" i="8"/>
  <c r="AS71" i="8"/>
  <c r="AT71" i="8"/>
  <c r="AU71" i="8"/>
  <c r="AR72" i="8"/>
  <c r="AS72" i="8"/>
  <c r="AT72" i="8"/>
  <c r="AR73" i="8"/>
  <c r="AS73" i="8"/>
  <c r="AT73" i="8"/>
  <c r="AU73" i="8"/>
  <c r="AR74" i="8"/>
  <c r="AS74" i="8"/>
  <c r="AT74" i="8"/>
  <c r="AR75" i="8"/>
  <c r="AS75" i="8"/>
  <c r="AT75" i="8"/>
  <c r="AR76" i="8"/>
  <c r="AS76" i="8"/>
  <c r="AT76" i="8"/>
  <c r="AR77" i="8"/>
  <c r="AS77" i="8"/>
  <c r="AT77" i="8"/>
  <c r="AR78" i="8"/>
  <c r="AS78" i="8"/>
  <c r="AT78" i="8"/>
  <c r="AR79" i="8"/>
  <c r="AS79" i="8"/>
  <c r="AT79" i="8"/>
  <c r="R115" i="8"/>
  <c r="R114" i="8"/>
  <c r="AB114" i="8"/>
  <c r="Z4" i="8"/>
  <c r="G39" i="5"/>
  <c r="N18" i="14"/>
  <c r="G44" i="5"/>
  <c r="N38" i="14"/>
  <c r="G53" i="5"/>
  <c r="G59" i="5"/>
  <c r="N23" i="14"/>
  <c r="G66" i="5"/>
  <c r="N24" i="14"/>
  <c r="M24" i="14"/>
  <c r="G73" i="5"/>
  <c r="G82" i="5"/>
  <c r="G90" i="5"/>
  <c r="F39" i="5"/>
  <c r="N18" i="13"/>
  <c r="F44" i="5"/>
  <c r="N38" i="13"/>
  <c r="F53" i="5"/>
  <c r="F59" i="5"/>
  <c r="N23" i="13"/>
  <c r="F66" i="5"/>
  <c r="N24" i="13"/>
  <c r="M24" i="13"/>
  <c r="F73" i="5"/>
  <c r="F82" i="5"/>
  <c r="F90" i="5"/>
  <c r="E39" i="5"/>
  <c r="N18" i="12"/>
  <c r="L18" i="12"/>
  <c r="E44" i="5"/>
  <c r="N38" i="12"/>
  <c r="E53" i="5"/>
  <c r="E59" i="5"/>
  <c r="N23" i="12"/>
  <c r="J23" i="12"/>
  <c r="E66" i="5"/>
  <c r="N24" i="12"/>
  <c r="M24" i="12"/>
  <c r="E73" i="5"/>
  <c r="E82" i="5"/>
  <c r="E90" i="5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AX2" i="8"/>
  <c r="AP5" i="8"/>
  <c r="AQ5" i="8"/>
  <c r="AR5" i="8"/>
  <c r="AP4" i="8"/>
  <c r="AQ4" i="8"/>
  <c r="AR4" i="8"/>
  <c r="AT4" i="8"/>
  <c r="AT5" i="8"/>
  <c r="BC4" i="8"/>
  <c r="BC5" i="8"/>
  <c r="BC6" i="8"/>
  <c r="BC7" i="8"/>
  <c r="BC8" i="8"/>
  <c r="BC9" i="8"/>
  <c r="BC10" i="8"/>
  <c r="BC11" i="8"/>
  <c r="BC12" i="8"/>
  <c r="BC13" i="8"/>
  <c r="BC14" i="8"/>
  <c r="BC15" i="8"/>
  <c r="BC16" i="8"/>
  <c r="BC17" i="8"/>
  <c r="BC18" i="8"/>
  <c r="BC19" i="8"/>
  <c r="BC20" i="8"/>
  <c r="BC21" i="8"/>
  <c r="BC22" i="8"/>
  <c r="BC23" i="8"/>
  <c r="BC24" i="8"/>
  <c r="BC25" i="8"/>
  <c r="BC26" i="8"/>
  <c r="BC27" i="8"/>
  <c r="BC28" i="8"/>
  <c r="BC29" i="8"/>
  <c r="BC30" i="8"/>
  <c r="BC31" i="8"/>
  <c r="BC32" i="8"/>
  <c r="BC33" i="8"/>
  <c r="BC34" i="8"/>
  <c r="BC35" i="8"/>
  <c r="BC36" i="8"/>
  <c r="BC37" i="8"/>
  <c r="BC38" i="8"/>
  <c r="BC39" i="8"/>
  <c r="BC40" i="8"/>
  <c r="BC41" i="8"/>
  <c r="BC42" i="8"/>
  <c r="BC43" i="8"/>
  <c r="BC44" i="8"/>
  <c r="BC45" i="8"/>
  <c r="BC46" i="8"/>
  <c r="BC47" i="8"/>
  <c r="BC48" i="8"/>
  <c r="BC49" i="8"/>
  <c r="BC50" i="8"/>
  <c r="BC51" i="8"/>
  <c r="BC52" i="8"/>
  <c r="BC53" i="8"/>
  <c r="BS7" i="8"/>
  <c r="BS8" i="8"/>
  <c r="BS9" i="8"/>
  <c r="BS10" i="8"/>
  <c r="BS11" i="8"/>
  <c r="BS12" i="8"/>
  <c r="BS13" i="8"/>
  <c r="BS14" i="8"/>
  <c r="BS15" i="8"/>
  <c r="BS16" i="8"/>
  <c r="BS17" i="8"/>
  <c r="BS18" i="8"/>
  <c r="BS19" i="8"/>
  <c r="BS20" i="8"/>
  <c r="BS21" i="8"/>
  <c r="BS22" i="8"/>
  <c r="BS23" i="8"/>
  <c r="BS24" i="8"/>
  <c r="BS25" i="8"/>
  <c r="BS26" i="8"/>
  <c r="BS27" i="8"/>
  <c r="BS28" i="8"/>
  <c r="BS29" i="8"/>
  <c r="BS30" i="8"/>
  <c r="BS31" i="8"/>
  <c r="BS32" i="8"/>
  <c r="BS33" i="8"/>
  <c r="BS34" i="8"/>
  <c r="BS35" i="8"/>
  <c r="BS36" i="8"/>
  <c r="BS37" i="8"/>
  <c r="BS38" i="8"/>
  <c r="BS39" i="8"/>
  <c r="BS40" i="8"/>
  <c r="BS41" i="8"/>
  <c r="BS42" i="8"/>
  <c r="BS43" i="8"/>
  <c r="BS44" i="8"/>
  <c r="BS45" i="8"/>
  <c r="BS46" i="8"/>
  <c r="BS47" i="8"/>
  <c r="BS48" i="8"/>
  <c r="BS49" i="8"/>
  <c r="BS50" i="8"/>
  <c r="BS51" i="8"/>
  <c r="BS52" i="8"/>
  <c r="BS53" i="8"/>
  <c r="L21" i="5"/>
  <c r="G22" i="5"/>
  <c r="L22" i="5"/>
  <c r="F22" i="5"/>
  <c r="K22" i="5"/>
  <c r="E22" i="5"/>
  <c r="J22" i="5"/>
  <c r="J25" i="5"/>
  <c r="B21" i="16"/>
  <c r="F33" i="5"/>
  <c r="G33" i="5"/>
  <c r="E33" i="5"/>
  <c r="R65" i="6"/>
  <c r="V66" i="8"/>
  <c r="D166" i="8"/>
  <c r="V67" i="8"/>
  <c r="E166" i="8"/>
  <c r="V68" i="8"/>
  <c r="F166" i="8"/>
  <c r="V69" i="8"/>
  <c r="G166" i="8"/>
  <c r="G104" i="8"/>
  <c r="V70" i="8"/>
  <c r="H166" i="8"/>
  <c r="V71" i="8"/>
  <c r="I166" i="8"/>
  <c r="V72" i="8"/>
  <c r="J166" i="8"/>
  <c r="V73" i="8"/>
  <c r="K166" i="8"/>
  <c r="C172" i="8"/>
  <c r="AB171" i="8"/>
  <c r="J171" i="8"/>
  <c r="AW114" i="8"/>
  <c r="C177" i="8"/>
  <c r="AB176" i="8"/>
  <c r="J176" i="8"/>
  <c r="AX114" i="8"/>
  <c r="AY114" i="8"/>
  <c r="AZ114" i="8"/>
  <c r="BA114" i="8"/>
  <c r="AC4" i="8"/>
  <c r="AB174" i="8"/>
  <c r="AW119" i="8"/>
  <c r="AX119" i="8"/>
  <c r="AY119" i="8"/>
  <c r="AZ119" i="8"/>
  <c r="BA119" i="8"/>
  <c r="AW115" i="8"/>
  <c r="AX115" i="8"/>
  <c r="AY115" i="8"/>
  <c r="AZ115" i="8"/>
  <c r="BA115" i="8"/>
  <c r="AW116" i="8"/>
  <c r="AX116" i="8"/>
  <c r="AY116" i="8"/>
  <c r="AZ116" i="8"/>
  <c r="BA116" i="8"/>
  <c r="AW117" i="8"/>
  <c r="AX117" i="8"/>
  <c r="AY117" i="8"/>
  <c r="AZ117" i="8"/>
  <c r="BA117" i="8"/>
  <c r="AW118" i="8"/>
  <c r="AX118" i="8"/>
  <c r="AY118" i="8"/>
  <c r="AC8" i="8"/>
  <c r="BB8" i="8"/>
  <c r="AZ118" i="8"/>
  <c r="BA118" i="8"/>
  <c r="AW120" i="8"/>
  <c r="AX120" i="8"/>
  <c r="AY120" i="8"/>
  <c r="AZ120" i="8"/>
  <c r="BA120" i="8"/>
  <c r="AW121" i="8"/>
  <c r="AX121" i="8"/>
  <c r="AY121" i="8"/>
  <c r="AZ121" i="8"/>
  <c r="BA121" i="8"/>
  <c r="AW122" i="8"/>
  <c r="AX122" i="8"/>
  <c r="AY122" i="8"/>
  <c r="AZ122" i="8"/>
  <c r="BA122" i="8"/>
  <c r="AW123" i="8"/>
  <c r="AX123" i="8"/>
  <c r="AY123" i="8"/>
  <c r="AZ123" i="8"/>
  <c r="BA123" i="8"/>
  <c r="AW124" i="8"/>
  <c r="AX124" i="8"/>
  <c r="AY124" i="8"/>
  <c r="AZ124" i="8"/>
  <c r="BA124" i="8"/>
  <c r="AW125" i="8"/>
  <c r="AX125" i="8"/>
  <c r="AY125" i="8"/>
  <c r="AZ125" i="8"/>
  <c r="BA125" i="8"/>
  <c r="AW126" i="8"/>
  <c r="AX126" i="8"/>
  <c r="AY126" i="8"/>
  <c r="AZ126" i="8"/>
  <c r="BA126" i="8"/>
  <c r="AW127" i="8"/>
  <c r="AX127" i="8"/>
  <c r="AY127" i="8"/>
  <c r="AZ127" i="8"/>
  <c r="BA127" i="8"/>
  <c r="AW128" i="8"/>
  <c r="AX128" i="8"/>
  <c r="AY128" i="8"/>
  <c r="AZ128" i="8"/>
  <c r="BA128" i="8"/>
  <c r="AW129" i="8"/>
  <c r="AX129" i="8"/>
  <c r="AY129" i="8"/>
  <c r="AZ129" i="8"/>
  <c r="BA129" i="8"/>
  <c r="AW130" i="8"/>
  <c r="AX130" i="8"/>
  <c r="AY130" i="8"/>
  <c r="AZ130" i="8"/>
  <c r="BA130" i="8"/>
  <c r="AW131" i="8"/>
  <c r="AX131" i="8"/>
  <c r="AY131" i="8"/>
  <c r="AZ131" i="8"/>
  <c r="BA131" i="8"/>
  <c r="AW132" i="8"/>
  <c r="AX132" i="8"/>
  <c r="AY132" i="8"/>
  <c r="AZ132" i="8"/>
  <c r="BA132" i="8"/>
  <c r="AW133" i="8"/>
  <c r="AX133" i="8"/>
  <c r="AY133" i="8"/>
  <c r="AZ133" i="8"/>
  <c r="BA133" i="8"/>
  <c r="AW134" i="8"/>
  <c r="AX134" i="8"/>
  <c r="AY134" i="8"/>
  <c r="AZ134" i="8"/>
  <c r="BA134" i="8"/>
  <c r="AW135" i="8"/>
  <c r="AX135" i="8"/>
  <c r="AY135" i="8"/>
  <c r="AZ135" i="8"/>
  <c r="BA135" i="8"/>
  <c r="AW136" i="8"/>
  <c r="AX136" i="8"/>
  <c r="AY136" i="8"/>
  <c r="AZ136" i="8"/>
  <c r="BA136" i="8"/>
  <c r="AW137" i="8"/>
  <c r="AX137" i="8"/>
  <c r="AY137" i="8"/>
  <c r="AZ137" i="8"/>
  <c r="BA137" i="8"/>
  <c r="AW138" i="8"/>
  <c r="AX138" i="8"/>
  <c r="AY138" i="8"/>
  <c r="AZ138" i="8"/>
  <c r="BA138" i="8"/>
  <c r="AW139" i="8"/>
  <c r="AX139" i="8"/>
  <c r="AY139" i="8"/>
  <c r="AZ139" i="8"/>
  <c r="BA139" i="8"/>
  <c r="AW140" i="8"/>
  <c r="AX140" i="8"/>
  <c r="AY140" i="8"/>
  <c r="AZ140" i="8"/>
  <c r="BA140" i="8"/>
  <c r="AW141" i="8"/>
  <c r="AX141" i="8"/>
  <c r="AY141" i="8"/>
  <c r="AZ141" i="8"/>
  <c r="BA141" i="8"/>
  <c r="AW142" i="8"/>
  <c r="AX142" i="8"/>
  <c r="AY142" i="8"/>
  <c r="AZ142" i="8"/>
  <c r="BA142" i="8"/>
  <c r="AW143" i="8"/>
  <c r="AX143" i="8"/>
  <c r="AY143" i="8"/>
  <c r="AZ143" i="8"/>
  <c r="BA143" i="8"/>
  <c r="AW144" i="8"/>
  <c r="AX144" i="8"/>
  <c r="AY144" i="8"/>
  <c r="AZ144" i="8"/>
  <c r="BA144" i="8"/>
  <c r="AW145" i="8"/>
  <c r="AX145" i="8"/>
  <c r="AY145" i="8"/>
  <c r="AZ145" i="8"/>
  <c r="BA145" i="8"/>
  <c r="AW146" i="8"/>
  <c r="AX146" i="8"/>
  <c r="AY146" i="8"/>
  <c r="AZ146" i="8"/>
  <c r="BA146" i="8"/>
  <c r="AW147" i="8"/>
  <c r="AX147" i="8"/>
  <c r="AY147" i="8"/>
  <c r="AZ147" i="8"/>
  <c r="BA147" i="8"/>
  <c r="AW148" i="8"/>
  <c r="AX148" i="8"/>
  <c r="AY148" i="8"/>
  <c r="AZ148" i="8"/>
  <c r="BA148" i="8"/>
  <c r="AW149" i="8"/>
  <c r="AX149" i="8"/>
  <c r="AY149" i="8"/>
  <c r="AZ149" i="8"/>
  <c r="BA149" i="8"/>
  <c r="AW150" i="8"/>
  <c r="AX150" i="8"/>
  <c r="AY150" i="8"/>
  <c r="AZ150" i="8"/>
  <c r="BA150" i="8"/>
  <c r="AW151" i="8"/>
  <c r="AX151" i="8"/>
  <c r="AY151" i="8"/>
  <c r="AZ151" i="8"/>
  <c r="BA151" i="8"/>
  <c r="AW152" i="8"/>
  <c r="AX152" i="8"/>
  <c r="AY152" i="8"/>
  <c r="AZ152" i="8"/>
  <c r="BA152" i="8"/>
  <c r="AW153" i="8"/>
  <c r="AX153" i="8"/>
  <c r="AY153" i="8"/>
  <c r="AZ153" i="8"/>
  <c r="BA153" i="8"/>
  <c r="AW154" i="8"/>
  <c r="AX154" i="8"/>
  <c r="AY154" i="8"/>
  <c r="AZ154" i="8"/>
  <c r="BA154" i="8"/>
  <c r="AW155" i="8"/>
  <c r="AX155" i="8"/>
  <c r="AY155" i="8"/>
  <c r="AZ155" i="8"/>
  <c r="BA155" i="8"/>
  <c r="AW156" i="8"/>
  <c r="AX156" i="8"/>
  <c r="AY156" i="8"/>
  <c r="AZ156" i="8"/>
  <c r="BA156" i="8"/>
  <c r="AW157" i="8"/>
  <c r="AX157" i="8"/>
  <c r="AY157" i="8"/>
  <c r="AZ157" i="8"/>
  <c r="BA157" i="8"/>
  <c r="AW158" i="8"/>
  <c r="AX158" i="8"/>
  <c r="AY158" i="8"/>
  <c r="AZ158" i="8"/>
  <c r="BA158" i="8"/>
  <c r="AW159" i="8"/>
  <c r="AX159" i="8"/>
  <c r="AY159" i="8"/>
  <c r="AZ159" i="8"/>
  <c r="BA159" i="8"/>
  <c r="AW160" i="8"/>
  <c r="AX160" i="8"/>
  <c r="AY160" i="8"/>
  <c r="AZ160" i="8"/>
  <c r="BA160" i="8"/>
  <c r="AW161" i="8"/>
  <c r="AX161" i="8"/>
  <c r="AY161" i="8"/>
  <c r="AZ161" i="8"/>
  <c r="BA161" i="8"/>
  <c r="AW162" i="8"/>
  <c r="AX162" i="8"/>
  <c r="AY162" i="8"/>
  <c r="AZ162" i="8"/>
  <c r="BA162" i="8"/>
  <c r="AW163" i="8"/>
  <c r="AX163" i="8"/>
  <c r="AY163" i="8"/>
  <c r="AZ163" i="8"/>
  <c r="BA163" i="8"/>
  <c r="AB172" i="8"/>
  <c r="C182" i="8"/>
  <c r="AB181" i="8"/>
  <c r="C192" i="8"/>
  <c r="AB191" i="8"/>
  <c r="AB182" i="8"/>
  <c r="J182" i="8"/>
  <c r="C187" i="8"/>
  <c r="AB186" i="8"/>
  <c r="AB192" i="8"/>
  <c r="J192" i="8"/>
  <c r="H81" i="6"/>
  <c r="K65" i="6"/>
  <c r="T1" i="7"/>
  <c r="C2" i="7"/>
  <c r="F1" i="7"/>
  <c r="B121" i="8"/>
  <c r="B120" i="8"/>
  <c r="B119" i="8"/>
  <c r="B118" i="8"/>
  <c r="B117" i="8"/>
  <c r="BQ8" i="8"/>
  <c r="AE118" i="8"/>
  <c r="C29" i="1"/>
  <c r="E7" i="4"/>
  <c r="C36" i="1"/>
  <c r="E8" i="4"/>
  <c r="C43" i="1"/>
  <c r="E9" i="4"/>
  <c r="C50" i="1"/>
  <c r="E10" i="4"/>
  <c r="C22" i="2"/>
  <c r="E18" i="4"/>
  <c r="C29" i="2"/>
  <c r="E19" i="4"/>
  <c r="C36" i="2"/>
  <c r="E20" i="4"/>
  <c r="C43" i="2"/>
  <c r="E21" i="4"/>
  <c r="G26" i="5"/>
  <c r="N15" i="14"/>
  <c r="M15" i="14"/>
  <c r="T45" i="6"/>
  <c r="T46" i="6"/>
  <c r="T51" i="6"/>
  <c r="T47" i="6"/>
  <c r="T48" i="6"/>
  <c r="T49" i="6"/>
  <c r="AC121" i="8"/>
  <c r="AE11" i="8"/>
  <c r="AF11" i="8"/>
  <c r="AG11" i="8"/>
  <c r="AE10" i="8"/>
  <c r="AF10" i="8"/>
  <c r="AG10" i="8"/>
  <c r="AE9" i="8"/>
  <c r="AF9" i="8"/>
  <c r="AG9" i="8"/>
  <c r="AE8" i="8"/>
  <c r="AF8" i="8"/>
  <c r="AG8" i="8"/>
  <c r="AE7" i="8"/>
  <c r="AF7" i="8"/>
  <c r="AG7" i="8"/>
  <c r="AC120" i="8"/>
  <c r="AC119" i="8"/>
  <c r="AC118" i="8"/>
  <c r="AC117" i="8"/>
  <c r="R116" i="8"/>
  <c r="AB116" i="8"/>
  <c r="Z6" i="8"/>
  <c r="T117" i="8"/>
  <c r="R117" i="8"/>
  <c r="AB117" i="8"/>
  <c r="Z7" i="8"/>
  <c r="T118" i="8"/>
  <c r="R118" i="8"/>
  <c r="AB118" i="8"/>
  <c r="Z8" i="8"/>
  <c r="T119" i="8"/>
  <c r="R119" i="8"/>
  <c r="AB119" i="8"/>
  <c r="Z9" i="8"/>
  <c r="T120" i="8"/>
  <c r="R120" i="8"/>
  <c r="AB120" i="8"/>
  <c r="Z10" i="8"/>
  <c r="T121" i="8"/>
  <c r="R121" i="8"/>
  <c r="AB121" i="8"/>
  <c r="Z11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BP16" i="8"/>
  <c r="BP17" i="8"/>
  <c r="BP18" i="8"/>
  <c r="BP19" i="8"/>
  <c r="BP20" i="8"/>
  <c r="BP21" i="8"/>
  <c r="BP22" i="8"/>
  <c r="BP23" i="8"/>
  <c r="BP24" i="8"/>
  <c r="BP25" i="8"/>
  <c r="BP26" i="8"/>
  <c r="BP27" i="8"/>
  <c r="BP28" i="8"/>
  <c r="BP29" i="8"/>
  <c r="BP30" i="8"/>
  <c r="BP31" i="8"/>
  <c r="BP32" i="8"/>
  <c r="BP33" i="8"/>
  <c r="BP34" i="8"/>
  <c r="BP35" i="8"/>
  <c r="BP36" i="8"/>
  <c r="BP37" i="8"/>
  <c r="BP38" i="8"/>
  <c r="BP39" i="8"/>
  <c r="BP40" i="8"/>
  <c r="BP41" i="8"/>
  <c r="BP42" i="8"/>
  <c r="BP43" i="8"/>
  <c r="BP44" i="8"/>
  <c r="BP45" i="8"/>
  <c r="BP46" i="8"/>
  <c r="BP47" i="8"/>
  <c r="BP48" i="8"/>
  <c r="BP49" i="8"/>
  <c r="BP50" i="8"/>
  <c r="BP51" i="8"/>
  <c r="BP52" i="8"/>
  <c r="BP53" i="8"/>
  <c r="K54" i="7"/>
  <c r="AR4" i="7"/>
  <c r="AR5" i="7"/>
  <c r="AR54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AR25" i="7"/>
  <c r="AR26" i="7"/>
  <c r="AR27" i="7"/>
  <c r="AR28" i="7"/>
  <c r="AR29" i="7"/>
  <c r="AR30" i="7"/>
  <c r="AR31" i="7"/>
  <c r="AR32" i="7"/>
  <c r="AR33" i="7"/>
  <c r="AR34" i="7"/>
  <c r="AR35" i="7"/>
  <c r="AR36" i="7"/>
  <c r="AR37" i="7"/>
  <c r="AR38" i="7"/>
  <c r="AR39" i="7"/>
  <c r="AR40" i="7"/>
  <c r="AR41" i="7"/>
  <c r="AR42" i="7"/>
  <c r="AR43" i="7"/>
  <c r="AR44" i="7"/>
  <c r="AR45" i="7"/>
  <c r="AR46" i="7"/>
  <c r="AR47" i="7"/>
  <c r="AR48" i="7"/>
  <c r="AR49" i="7"/>
  <c r="AR50" i="7"/>
  <c r="AR51" i="7"/>
  <c r="AR52" i="7"/>
  <c r="AR53" i="7"/>
  <c r="J54" i="7"/>
  <c r="C55" i="7"/>
  <c r="E49" i="15"/>
  <c r="D19" i="6"/>
  <c r="AB193" i="8"/>
  <c r="J193" i="8"/>
  <c r="AB194" i="8"/>
  <c r="J194" i="8"/>
  <c r="AB195" i="8"/>
  <c r="J195" i="8"/>
  <c r="W195" i="8"/>
  <c r="AB188" i="8"/>
  <c r="J188" i="8"/>
  <c r="AB190" i="8"/>
  <c r="J190" i="8"/>
  <c r="W190" i="8"/>
  <c r="AB183" i="8"/>
  <c r="J183" i="8"/>
  <c r="AB184" i="8"/>
  <c r="J184" i="8"/>
  <c r="AB185" i="8"/>
  <c r="J185" i="8"/>
  <c r="W185" i="8"/>
  <c r="AB178" i="8"/>
  <c r="J178" i="8"/>
  <c r="AB179" i="8"/>
  <c r="J179" i="8"/>
  <c r="AB180" i="8"/>
  <c r="J180" i="8"/>
  <c r="W180" i="8"/>
  <c r="J172" i="8"/>
  <c r="J174" i="8"/>
  <c r="AB175" i="8"/>
  <c r="J175" i="8"/>
  <c r="W175" i="8"/>
  <c r="E81" i="6"/>
  <c r="AP6" i="8"/>
  <c r="AQ6" i="8"/>
  <c r="AR6" i="8"/>
  <c r="AP7" i="8"/>
  <c r="AQ7" i="8"/>
  <c r="AR7" i="8"/>
  <c r="AP8" i="8"/>
  <c r="AQ8" i="8"/>
  <c r="AR8" i="8"/>
  <c r="AP9" i="8"/>
  <c r="AQ9" i="8"/>
  <c r="AR9" i="8"/>
  <c r="AP10" i="8"/>
  <c r="AQ10" i="8"/>
  <c r="AR10" i="8"/>
  <c r="AP11" i="8"/>
  <c r="AQ11" i="8"/>
  <c r="AR11" i="8"/>
  <c r="AS4" i="8"/>
  <c r="AS5" i="8"/>
  <c r="AS6" i="8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S33" i="8"/>
  <c r="AS34" i="8"/>
  <c r="AS35" i="8"/>
  <c r="AS36" i="8"/>
  <c r="AS37" i="8"/>
  <c r="AS38" i="8"/>
  <c r="AS39" i="8"/>
  <c r="AS40" i="8"/>
  <c r="AS41" i="8"/>
  <c r="AS42" i="8"/>
  <c r="AS43" i="8"/>
  <c r="AS44" i="8"/>
  <c r="AS45" i="8"/>
  <c r="AS46" i="8"/>
  <c r="AS47" i="8"/>
  <c r="AS48" i="8"/>
  <c r="AS49" i="8"/>
  <c r="AS50" i="8"/>
  <c r="AS51" i="8"/>
  <c r="AS52" i="8"/>
  <c r="AS53" i="8"/>
  <c r="BR17" i="8"/>
  <c r="BR18" i="8"/>
  <c r="BR19" i="8"/>
  <c r="BR20" i="8"/>
  <c r="BR21" i="8"/>
  <c r="BR22" i="8"/>
  <c r="BR23" i="8"/>
  <c r="BR24" i="8"/>
  <c r="BR25" i="8"/>
  <c r="BR26" i="8"/>
  <c r="BR27" i="8"/>
  <c r="BR28" i="8"/>
  <c r="BR29" i="8"/>
  <c r="BR30" i="8"/>
  <c r="BR31" i="8"/>
  <c r="BR32" i="8"/>
  <c r="BR33" i="8"/>
  <c r="BR34" i="8"/>
  <c r="BR35" i="8"/>
  <c r="BR36" i="8"/>
  <c r="BR37" i="8"/>
  <c r="BR38" i="8"/>
  <c r="BR39" i="8"/>
  <c r="BR40" i="8"/>
  <c r="BR41" i="8"/>
  <c r="BR42" i="8"/>
  <c r="BR43" i="8"/>
  <c r="BR44" i="8"/>
  <c r="BR45" i="8"/>
  <c r="BR46" i="8"/>
  <c r="BR47" i="8"/>
  <c r="BR48" i="8"/>
  <c r="BR49" i="8"/>
  <c r="BR50" i="8"/>
  <c r="BR51" i="8"/>
  <c r="BR52" i="8"/>
  <c r="BR53" i="8"/>
  <c r="R122" i="8"/>
  <c r="T122" i="8"/>
  <c r="AB122" i="8"/>
  <c r="Z12" i="8"/>
  <c r="R123" i="8"/>
  <c r="T123" i="8"/>
  <c r="AB123" i="8"/>
  <c r="Z13" i="8"/>
  <c r="R124" i="8"/>
  <c r="T124" i="8"/>
  <c r="AB124" i="8"/>
  <c r="Z14" i="8"/>
  <c r="R125" i="8"/>
  <c r="T125" i="8"/>
  <c r="AB125" i="8"/>
  <c r="Z15" i="8"/>
  <c r="R126" i="8"/>
  <c r="T126" i="8"/>
  <c r="AB126" i="8"/>
  <c r="Z16" i="8"/>
  <c r="R127" i="8"/>
  <c r="T127" i="8"/>
  <c r="AB127" i="8"/>
  <c r="Z17" i="8"/>
  <c r="R128" i="8"/>
  <c r="T128" i="8"/>
  <c r="AB128" i="8"/>
  <c r="Z18" i="8"/>
  <c r="R129" i="8"/>
  <c r="T129" i="8"/>
  <c r="AB129" i="8"/>
  <c r="Z19" i="8"/>
  <c r="R130" i="8"/>
  <c r="T130" i="8"/>
  <c r="AB130" i="8"/>
  <c r="Z20" i="8"/>
  <c r="R131" i="8"/>
  <c r="T131" i="8"/>
  <c r="AB131" i="8"/>
  <c r="Z21" i="8"/>
  <c r="R132" i="8"/>
  <c r="T132" i="8"/>
  <c r="AB132" i="8"/>
  <c r="Z22" i="8"/>
  <c r="R133" i="8"/>
  <c r="T133" i="8"/>
  <c r="AB133" i="8"/>
  <c r="Z23" i="8"/>
  <c r="R134" i="8"/>
  <c r="T134" i="8"/>
  <c r="AB134" i="8"/>
  <c r="Z24" i="8"/>
  <c r="R135" i="8"/>
  <c r="T135" i="8"/>
  <c r="AB135" i="8"/>
  <c r="Z25" i="8"/>
  <c r="R136" i="8"/>
  <c r="T136" i="8"/>
  <c r="AB136" i="8"/>
  <c r="Z26" i="8"/>
  <c r="R137" i="8"/>
  <c r="T137" i="8"/>
  <c r="AB137" i="8"/>
  <c r="Z27" i="8"/>
  <c r="R138" i="8"/>
  <c r="T138" i="8"/>
  <c r="AB138" i="8"/>
  <c r="Z28" i="8"/>
  <c r="R139" i="8"/>
  <c r="T139" i="8"/>
  <c r="AB139" i="8"/>
  <c r="Z29" i="8"/>
  <c r="R140" i="8"/>
  <c r="T140" i="8"/>
  <c r="AB140" i="8"/>
  <c r="Z30" i="8"/>
  <c r="R141" i="8"/>
  <c r="T141" i="8"/>
  <c r="AB141" i="8"/>
  <c r="Z31" i="8"/>
  <c r="R142" i="8"/>
  <c r="T142" i="8"/>
  <c r="AB142" i="8"/>
  <c r="Z32" i="8"/>
  <c r="R143" i="8"/>
  <c r="T143" i="8"/>
  <c r="AB143" i="8"/>
  <c r="Z33" i="8"/>
  <c r="R144" i="8"/>
  <c r="T144" i="8"/>
  <c r="AB144" i="8"/>
  <c r="Z34" i="8"/>
  <c r="R145" i="8"/>
  <c r="T145" i="8"/>
  <c r="AB145" i="8"/>
  <c r="Z35" i="8"/>
  <c r="R146" i="8"/>
  <c r="T146" i="8"/>
  <c r="AB146" i="8"/>
  <c r="Z36" i="8"/>
  <c r="R147" i="8"/>
  <c r="T147" i="8"/>
  <c r="AB147" i="8"/>
  <c r="Z37" i="8"/>
  <c r="R148" i="8"/>
  <c r="T148" i="8"/>
  <c r="AB148" i="8"/>
  <c r="Z38" i="8"/>
  <c r="R149" i="8"/>
  <c r="T149" i="8"/>
  <c r="AB149" i="8"/>
  <c r="Z39" i="8"/>
  <c r="R150" i="8"/>
  <c r="T150" i="8"/>
  <c r="AB150" i="8"/>
  <c r="Z40" i="8"/>
  <c r="R151" i="8"/>
  <c r="T151" i="8"/>
  <c r="AB151" i="8"/>
  <c r="Z41" i="8"/>
  <c r="R152" i="8"/>
  <c r="T152" i="8"/>
  <c r="AB152" i="8"/>
  <c r="Z42" i="8"/>
  <c r="R153" i="8"/>
  <c r="T153" i="8"/>
  <c r="AB153" i="8"/>
  <c r="Z43" i="8"/>
  <c r="R154" i="8"/>
  <c r="T154" i="8"/>
  <c r="AB154" i="8"/>
  <c r="Z44" i="8"/>
  <c r="R155" i="8"/>
  <c r="T155" i="8"/>
  <c r="AB155" i="8"/>
  <c r="Z45" i="8"/>
  <c r="R156" i="8"/>
  <c r="T156" i="8"/>
  <c r="AB156" i="8"/>
  <c r="Z46" i="8"/>
  <c r="R157" i="8"/>
  <c r="T157" i="8"/>
  <c r="AB157" i="8"/>
  <c r="Z47" i="8"/>
  <c r="R158" i="8"/>
  <c r="T158" i="8"/>
  <c r="AB158" i="8"/>
  <c r="Z48" i="8"/>
  <c r="R159" i="8"/>
  <c r="T159" i="8"/>
  <c r="AB159" i="8"/>
  <c r="Z49" i="8"/>
  <c r="R160" i="8"/>
  <c r="T160" i="8"/>
  <c r="AB160" i="8"/>
  <c r="Z50" i="8"/>
  <c r="R161" i="8"/>
  <c r="T161" i="8"/>
  <c r="AB161" i="8"/>
  <c r="Z51" i="8"/>
  <c r="R162" i="8"/>
  <c r="T162" i="8"/>
  <c r="AB162" i="8"/>
  <c r="Z52" i="8"/>
  <c r="R163" i="8"/>
  <c r="T163" i="8"/>
  <c r="AB163" i="8"/>
  <c r="Z53" i="8"/>
  <c r="B163" i="8"/>
  <c r="X163" i="8"/>
  <c r="B162" i="8"/>
  <c r="X162" i="8"/>
  <c r="B161" i="8"/>
  <c r="X161" i="8"/>
  <c r="B160" i="8"/>
  <c r="X160" i="8"/>
  <c r="B159" i="8"/>
  <c r="X159" i="8"/>
  <c r="B158" i="8"/>
  <c r="X158" i="8"/>
  <c r="B157" i="8"/>
  <c r="X157" i="8"/>
  <c r="B156" i="8"/>
  <c r="X156" i="8"/>
  <c r="B155" i="8"/>
  <c r="X155" i="8"/>
  <c r="B154" i="8"/>
  <c r="X154" i="8"/>
  <c r="B153" i="8"/>
  <c r="X153" i="8"/>
  <c r="B152" i="8"/>
  <c r="X152" i="8"/>
  <c r="B151" i="8"/>
  <c r="X151" i="8"/>
  <c r="B150" i="8"/>
  <c r="X150" i="8"/>
  <c r="B149" i="8"/>
  <c r="X149" i="8"/>
  <c r="B148" i="8"/>
  <c r="X148" i="8"/>
  <c r="B147" i="8"/>
  <c r="X147" i="8"/>
  <c r="B146" i="8"/>
  <c r="X146" i="8"/>
  <c r="B145" i="8"/>
  <c r="X145" i="8"/>
  <c r="B144" i="8"/>
  <c r="X144" i="8"/>
  <c r="B143" i="8"/>
  <c r="X143" i="8"/>
  <c r="B142" i="8"/>
  <c r="X142" i="8"/>
  <c r="B141" i="8"/>
  <c r="X141" i="8"/>
  <c r="B140" i="8"/>
  <c r="X140" i="8"/>
  <c r="B139" i="8"/>
  <c r="X139" i="8"/>
  <c r="B138" i="8"/>
  <c r="X138" i="8"/>
  <c r="B137" i="8"/>
  <c r="X137" i="8"/>
  <c r="B136" i="8"/>
  <c r="X136" i="8"/>
  <c r="B135" i="8"/>
  <c r="X135" i="8"/>
  <c r="B134" i="8"/>
  <c r="X134" i="8"/>
  <c r="B133" i="8"/>
  <c r="X133" i="8"/>
  <c r="B132" i="8"/>
  <c r="X132" i="8"/>
  <c r="B131" i="8"/>
  <c r="X131" i="8"/>
  <c r="B130" i="8"/>
  <c r="X130" i="8"/>
  <c r="B129" i="8"/>
  <c r="X129" i="8"/>
  <c r="B128" i="8"/>
  <c r="X128" i="8"/>
  <c r="B127" i="8"/>
  <c r="X127" i="8"/>
  <c r="B126" i="8"/>
  <c r="X126" i="8"/>
  <c r="B125" i="8"/>
  <c r="B124" i="8"/>
  <c r="B123" i="8"/>
  <c r="B122" i="8"/>
  <c r="V74" i="8"/>
  <c r="L166" i="8"/>
  <c r="V75" i="8"/>
  <c r="M166" i="8"/>
  <c r="M104" i="8"/>
  <c r="V76" i="8"/>
  <c r="N166" i="8"/>
  <c r="N104" i="8"/>
  <c r="V77" i="8"/>
  <c r="O166" i="8"/>
  <c r="O104" i="8"/>
  <c r="V78" i="8"/>
  <c r="P166" i="8"/>
  <c r="V79" i="8"/>
  <c r="Q166" i="8"/>
  <c r="Q104" i="8"/>
  <c r="K58" i="6"/>
  <c r="K55" i="6"/>
  <c r="K52" i="6"/>
  <c r="K49" i="6"/>
  <c r="K46" i="6"/>
  <c r="K57" i="6"/>
  <c r="K54" i="6"/>
  <c r="K51" i="6"/>
  <c r="K48" i="6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76" i="8"/>
  <c r="L175" i="8"/>
  <c r="L173" i="8"/>
  <c r="L174" i="8"/>
  <c r="L172" i="8"/>
  <c r="L171" i="8"/>
  <c r="K45" i="6"/>
  <c r="AE127" i="8"/>
  <c r="AF127" i="8"/>
  <c r="AE128" i="8"/>
  <c r="AE129" i="8"/>
  <c r="AF129" i="8"/>
  <c r="AE130" i="8"/>
  <c r="AE131" i="8"/>
  <c r="AF131" i="8"/>
  <c r="AE132" i="8"/>
  <c r="AE133" i="8"/>
  <c r="AF133" i="8"/>
  <c r="AE134" i="8"/>
  <c r="AE135" i="8"/>
  <c r="AF135" i="8"/>
  <c r="AE136" i="8"/>
  <c r="AE137" i="8"/>
  <c r="AF137" i="8"/>
  <c r="AE138" i="8"/>
  <c r="AE139" i="8"/>
  <c r="AF139" i="8"/>
  <c r="AE140" i="8"/>
  <c r="AE141" i="8"/>
  <c r="AF141" i="8"/>
  <c r="AE142" i="8"/>
  <c r="AE143" i="8"/>
  <c r="AF143" i="8"/>
  <c r="AE144" i="8"/>
  <c r="AE145" i="8"/>
  <c r="AF145" i="8"/>
  <c r="AE146" i="8"/>
  <c r="AE147" i="8"/>
  <c r="AF147" i="8"/>
  <c r="AE148" i="8"/>
  <c r="AE149" i="8"/>
  <c r="AF149" i="8"/>
  <c r="AE150" i="8"/>
  <c r="AE151" i="8"/>
  <c r="AF151" i="8"/>
  <c r="AE152" i="8"/>
  <c r="AE153" i="8"/>
  <c r="AF153" i="8"/>
  <c r="AE154" i="8"/>
  <c r="AE155" i="8"/>
  <c r="AF155" i="8"/>
  <c r="AE156" i="8"/>
  <c r="AE157" i="8"/>
  <c r="AG157" i="8"/>
  <c r="AE158" i="8"/>
  <c r="AE159" i="8"/>
  <c r="AG159" i="8"/>
  <c r="AE160" i="8"/>
  <c r="AE161" i="8"/>
  <c r="AG161" i="8"/>
  <c r="AE162" i="8"/>
  <c r="AE163" i="8"/>
  <c r="AG163" i="8"/>
  <c r="BQ16" i="8"/>
  <c r="BR16" i="8"/>
  <c r="BQ17" i="8"/>
  <c r="BQ18" i="8"/>
  <c r="BQ19" i="8"/>
  <c r="BQ20" i="8"/>
  <c r="BQ21" i="8"/>
  <c r="BQ22" i="8"/>
  <c r="BQ23" i="8"/>
  <c r="BQ24" i="8"/>
  <c r="BQ25" i="8"/>
  <c r="BQ26" i="8"/>
  <c r="BQ27" i="8"/>
  <c r="BQ28" i="8"/>
  <c r="BQ29" i="8"/>
  <c r="BQ30" i="8"/>
  <c r="BQ31" i="8"/>
  <c r="BQ32" i="8"/>
  <c r="BQ33" i="8"/>
  <c r="BQ34" i="8"/>
  <c r="BQ35" i="8"/>
  <c r="BQ36" i="8"/>
  <c r="BQ37" i="8"/>
  <c r="BQ38" i="8"/>
  <c r="BQ39" i="8"/>
  <c r="BQ40" i="8"/>
  <c r="BQ41" i="8"/>
  <c r="BQ42" i="8"/>
  <c r="BQ43" i="8"/>
  <c r="BQ44" i="8"/>
  <c r="BQ45" i="8"/>
  <c r="BQ46" i="8"/>
  <c r="BQ47" i="8"/>
  <c r="BQ48" i="8"/>
  <c r="BQ49" i="8"/>
  <c r="BQ50" i="8"/>
  <c r="BQ51" i="8"/>
  <c r="BQ52" i="8"/>
  <c r="BQ53" i="8"/>
  <c r="AC122" i="8"/>
  <c r="AC123" i="8"/>
  <c r="AC124" i="8"/>
  <c r="AC125" i="8"/>
  <c r="AC126" i="8"/>
  <c r="AC127" i="8"/>
  <c r="AC128" i="8"/>
  <c r="AC129" i="8"/>
  <c r="AC130" i="8"/>
  <c r="AC131" i="8"/>
  <c r="AC132" i="8"/>
  <c r="AC133" i="8"/>
  <c r="AC134" i="8"/>
  <c r="AC135" i="8"/>
  <c r="AC136" i="8"/>
  <c r="AC137" i="8"/>
  <c r="AC138" i="8"/>
  <c r="AC139" i="8"/>
  <c r="AC140" i="8"/>
  <c r="AC141" i="8"/>
  <c r="AC142" i="8"/>
  <c r="AC143" i="8"/>
  <c r="AC144" i="8"/>
  <c r="AC145" i="8"/>
  <c r="AC146" i="8"/>
  <c r="AC147" i="8"/>
  <c r="AC148" i="8"/>
  <c r="AC149" i="8"/>
  <c r="AC150" i="8"/>
  <c r="AC151" i="8"/>
  <c r="AC152" i="8"/>
  <c r="AC153" i="8"/>
  <c r="AC154" i="8"/>
  <c r="AC155" i="8"/>
  <c r="AC156" i="8"/>
  <c r="AC157" i="8"/>
  <c r="AC158" i="8"/>
  <c r="AC159" i="8"/>
  <c r="AC160" i="8"/>
  <c r="AC161" i="8"/>
  <c r="AC162" i="8"/>
  <c r="AC163" i="8"/>
  <c r="AE31" i="8"/>
  <c r="AF31" i="8"/>
  <c r="AG31" i="8"/>
  <c r="AE30" i="8"/>
  <c r="AF30" i="8"/>
  <c r="AG30" i="8"/>
  <c r="AE27" i="8"/>
  <c r="AF27" i="8"/>
  <c r="AG27" i="8"/>
  <c r="AE26" i="8"/>
  <c r="AF26" i="8"/>
  <c r="AG26" i="8"/>
  <c r="AE24" i="8"/>
  <c r="AF24" i="8"/>
  <c r="AG24" i="8"/>
  <c r="AE23" i="8"/>
  <c r="AF23" i="8"/>
  <c r="AG23" i="8"/>
  <c r="AE21" i="8"/>
  <c r="AF21" i="8"/>
  <c r="AG21" i="8"/>
  <c r="AE20" i="8"/>
  <c r="AF20" i="8"/>
  <c r="AG20" i="8"/>
  <c r="AE19" i="8"/>
  <c r="AF19" i="8"/>
  <c r="AG19" i="8"/>
  <c r="AE17" i="8"/>
  <c r="AF17" i="8"/>
  <c r="AG17" i="8"/>
  <c r="AE15" i="8"/>
  <c r="AH15" i="8"/>
  <c r="AF15" i="8"/>
  <c r="AG15" i="8"/>
  <c r="AE14" i="8"/>
  <c r="AF14" i="8"/>
  <c r="AG14" i="8"/>
  <c r="AE13" i="8"/>
  <c r="AF13" i="8"/>
  <c r="AG13" i="8"/>
  <c r="AE12" i="8"/>
  <c r="AF12" i="8"/>
  <c r="AG12" i="8"/>
  <c r="AE53" i="8"/>
  <c r="AF53" i="8"/>
  <c r="AG53" i="8"/>
  <c r="AP53" i="8"/>
  <c r="AQ53" i="8"/>
  <c r="AR53" i="8"/>
  <c r="AP31" i="8"/>
  <c r="AQ31" i="8"/>
  <c r="AR31" i="8"/>
  <c r="AP30" i="8"/>
  <c r="AQ30" i="8"/>
  <c r="AR30" i="8"/>
  <c r="AP27" i="8"/>
  <c r="AQ27" i="8"/>
  <c r="AR27" i="8"/>
  <c r="AP26" i="8"/>
  <c r="AQ26" i="8"/>
  <c r="AR26" i="8"/>
  <c r="AP24" i="8"/>
  <c r="AQ24" i="8"/>
  <c r="AR24" i="8"/>
  <c r="AP23" i="8"/>
  <c r="AQ23" i="8"/>
  <c r="AR23" i="8"/>
  <c r="AP21" i="8"/>
  <c r="AQ21" i="8"/>
  <c r="AR21" i="8"/>
  <c r="AP20" i="8"/>
  <c r="AQ20" i="8"/>
  <c r="AR20" i="8"/>
  <c r="AP19" i="8"/>
  <c r="AQ19" i="8"/>
  <c r="AR19" i="8"/>
  <c r="AP17" i="8"/>
  <c r="AQ17" i="8"/>
  <c r="AR17" i="8"/>
  <c r="AP15" i="8"/>
  <c r="AQ15" i="8"/>
  <c r="AR15" i="8"/>
  <c r="AP14" i="8"/>
  <c r="AQ14" i="8"/>
  <c r="AR14" i="8"/>
  <c r="AP13" i="8"/>
  <c r="AQ13" i="8"/>
  <c r="AR13" i="8"/>
  <c r="AP12" i="8"/>
  <c r="AQ12" i="8"/>
  <c r="AR12" i="8"/>
  <c r="AQ16" i="8"/>
  <c r="AR16" i="8"/>
  <c r="AQ18" i="8"/>
  <c r="AR18" i="8"/>
  <c r="AQ22" i="8"/>
  <c r="AR22" i="8"/>
  <c r="AQ25" i="8"/>
  <c r="AR25" i="8"/>
  <c r="AQ28" i="8"/>
  <c r="AR28" i="8"/>
  <c r="AQ29" i="8"/>
  <c r="AR29" i="8"/>
  <c r="AQ32" i="8"/>
  <c r="AR32" i="8"/>
  <c r="AQ33" i="8"/>
  <c r="AR33" i="8"/>
  <c r="AQ34" i="8"/>
  <c r="AR34" i="8"/>
  <c r="AQ35" i="8"/>
  <c r="AR35" i="8"/>
  <c r="AQ36" i="8"/>
  <c r="AR36" i="8"/>
  <c r="AQ37" i="8"/>
  <c r="AR37" i="8"/>
  <c r="AQ38" i="8"/>
  <c r="AR38" i="8"/>
  <c r="AQ39" i="8"/>
  <c r="AR39" i="8"/>
  <c r="AQ40" i="8"/>
  <c r="AR40" i="8"/>
  <c r="AQ41" i="8"/>
  <c r="AR41" i="8"/>
  <c r="AQ42" i="8"/>
  <c r="AR42" i="8"/>
  <c r="AQ43" i="8"/>
  <c r="AR43" i="8"/>
  <c r="AQ44" i="8"/>
  <c r="AR44" i="8"/>
  <c r="AQ45" i="8"/>
  <c r="AR45" i="8"/>
  <c r="AQ46" i="8"/>
  <c r="AR46" i="8"/>
  <c r="AQ47" i="8"/>
  <c r="AR47" i="8"/>
  <c r="AQ48" i="8"/>
  <c r="AR48" i="8"/>
  <c r="AQ49" i="8"/>
  <c r="AR49" i="8"/>
  <c r="AQ50" i="8"/>
  <c r="AR50" i="8"/>
  <c r="AQ51" i="8"/>
  <c r="AR51" i="8"/>
  <c r="AQ52" i="8"/>
  <c r="AR52" i="8"/>
  <c r="AP16" i="8"/>
  <c r="AP18" i="8"/>
  <c r="AP22" i="8"/>
  <c r="AP25" i="8"/>
  <c r="AP28" i="8"/>
  <c r="AP29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E28" i="8"/>
  <c r="AF28" i="8"/>
  <c r="AG28" i="8"/>
  <c r="AF16" i="8"/>
  <c r="AF18" i="8"/>
  <c r="AF22" i="8"/>
  <c r="AF25" i="8"/>
  <c r="AG25" i="8"/>
  <c r="AF29" i="8"/>
  <c r="AF32" i="8"/>
  <c r="AG32" i="8"/>
  <c r="AF33" i="8"/>
  <c r="AG33" i="8"/>
  <c r="AF34" i="8"/>
  <c r="AG34" i="8"/>
  <c r="AF35" i="8"/>
  <c r="AG35" i="8"/>
  <c r="AF36" i="8"/>
  <c r="AG36" i="8"/>
  <c r="AF37" i="8"/>
  <c r="AG37" i="8"/>
  <c r="AF38" i="8"/>
  <c r="AF39" i="8"/>
  <c r="AG39" i="8"/>
  <c r="AF40" i="8"/>
  <c r="AG40" i="8"/>
  <c r="AF41" i="8"/>
  <c r="AG41" i="8"/>
  <c r="AF42" i="8"/>
  <c r="AG42" i="8"/>
  <c r="AF43" i="8"/>
  <c r="AG43" i="8"/>
  <c r="AF44" i="8"/>
  <c r="AG44" i="8"/>
  <c r="AF45" i="8"/>
  <c r="AG45" i="8"/>
  <c r="AF46" i="8"/>
  <c r="AF47" i="8"/>
  <c r="AG47" i="8"/>
  <c r="AF48" i="8"/>
  <c r="AG48" i="8"/>
  <c r="AF49" i="8"/>
  <c r="AG49" i="8"/>
  <c r="AF50" i="8"/>
  <c r="AG50" i="8"/>
  <c r="AF51" i="8"/>
  <c r="AG51" i="8"/>
  <c r="AF52" i="8"/>
  <c r="AG52" i="8"/>
  <c r="AE16" i="8"/>
  <c r="AH16" i="8"/>
  <c r="AE18" i="8"/>
  <c r="AE22" i="8"/>
  <c r="AE25" i="8"/>
  <c r="AE29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46" i="8"/>
  <c r="AE47" i="8"/>
  <c r="AE48" i="8"/>
  <c r="AE49" i="8"/>
  <c r="AE50" i="8"/>
  <c r="AE51" i="8"/>
  <c r="AE52" i="8"/>
  <c r="AG29" i="8"/>
  <c r="AG16" i="8"/>
  <c r="AG18" i="8"/>
  <c r="AG22" i="8"/>
  <c r="AG38" i="8"/>
  <c r="AG46" i="8"/>
  <c r="C8" i="2"/>
  <c r="E16" i="4"/>
  <c r="C15" i="2"/>
  <c r="E17" i="4"/>
  <c r="C50" i="2"/>
  <c r="E22" i="4"/>
  <c r="C64" i="1"/>
  <c r="E12" i="4"/>
  <c r="W65" i="8"/>
  <c r="W72" i="8"/>
  <c r="W73" i="8"/>
  <c r="C205" i="8"/>
  <c r="E55" i="8"/>
  <c r="W66" i="8"/>
  <c r="W67" i="8"/>
  <c r="W68" i="8"/>
  <c r="W69" i="8"/>
  <c r="W70" i="8"/>
  <c r="W71" i="8"/>
  <c r="W74" i="8"/>
  <c r="W75" i="8"/>
  <c r="W76" i="8"/>
  <c r="W77" i="8"/>
  <c r="W78" i="8"/>
  <c r="W79" i="8"/>
  <c r="C204" i="8"/>
  <c r="C203" i="8"/>
  <c r="M202" i="8"/>
  <c r="D11" i="5"/>
  <c r="C206" i="8"/>
  <c r="C202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2" i="8"/>
  <c r="E173" i="8"/>
  <c r="E174" i="8"/>
  <c r="E175" i="8"/>
  <c r="E171" i="8"/>
  <c r="F59" i="7"/>
  <c r="I54" i="7"/>
  <c r="I55" i="7"/>
  <c r="C64" i="2"/>
  <c r="E24" i="4"/>
  <c r="C57" i="2"/>
  <c r="E23" i="4"/>
  <c r="F21" i="16"/>
  <c r="D21" i="16"/>
  <c r="E47" i="15"/>
  <c r="E48" i="15"/>
  <c r="E46" i="15"/>
  <c r="E45" i="15"/>
  <c r="E44" i="15"/>
  <c r="C56" i="15"/>
  <c r="E22" i="15"/>
  <c r="E14" i="15"/>
  <c r="E15" i="15"/>
  <c r="E16" i="15"/>
  <c r="E17" i="15"/>
  <c r="E18" i="15"/>
  <c r="E19" i="15"/>
  <c r="E20" i="15"/>
  <c r="E13" i="15"/>
  <c r="E10" i="15"/>
  <c r="E9" i="15"/>
  <c r="E8" i="15"/>
  <c r="E7" i="15"/>
  <c r="E6" i="15"/>
  <c r="E5" i="15"/>
  <c r="B31" i="6"/>
  <c r="D113" i="8"/>
  <c r="D88" i="8"/>
  <c r="E113" i="8"/>
  <c r="E88" i="8"/>
  <c r="F113" i="8"/>
  <c r="F88" i="8"/>
  <c r="G113" i="8"/>
  <c r="G88" i="8"/>
  <c r="H113" i="8"/>
  <c r="H88" i="8"/>
  <c r="I113" i="8"/>
  <c r="I88" i="8"/>
  <c r="J113" i="8"/>
  <c r="J88" i="8"/>
  <c r="K113" i="8"/>
  <c r="K88" i="8"/>
  <c r="L113" i="8"/>
  <c r="L88" i="8"/>
  <c r="M113" i="8"/>
  <c r="M88" i="8"/>
  <c r="N113" i="8"/>
  <c r="N88" i="8"/>
  <c r="O113" i="8"/>
  <c r="O88" i="8"/>
  <c r="P113" i="8"/>
  <c r="P88" i="8"/>
  <c r="Q113" i="8"/>
  <c r="Q88" i="8"/>
  <c r="C113" i="8"/>
  <c r="C88" i="8"/>
  <c r="AG127" i="8"/>
  <c r="AK127" i="8"/>
  <c r="AO127" i="8"/>
  <c r="AS127" i="8"/>
  <c r="AF128" i="8"/>
  <c r="AG128" i="8"/>
  <c r="AH128" i="8"/>
  <c r="AI128" i="8"/>
  <c r="AJ128" i="8"/>
  <c r="AK128" i="8"/>
  <c r="AL128" i="8"/>
  <c r="AM128" i="8"/>
  <c r="AN128" i="8"/>
  <c r="AO128" i="8"/>
  <c r="AP128" i="8"/>
  <c r="AQ128" i="8"/>
  <c r="AR128" i="8"/>
  <c r="AS128" i="8"/>
  <c r="AT128" i="8"/>
  <c r="AG129" i="8"/>
  <c r="AI129" i="8"/>
  <c r="AK129" i="8"/>
  <c r="AM129" i="8"/>
  <c r="AO129" i="8"/>
  <c r="AQ129" i="8"/>
  <c r="AS129" i="8"/>
  <c r="AF130" i="8"/>
  <c r="AG130" i="8"/>
  <c r="AH130" i="8"/>
  <c r="AI130" i="8"/>
  <c r="AJ130" i="8"/>
  <c r="AK130" i="8"/>
  <c r="AL130" i="8"/>
  <c r="AM130" i="8"/>
  <c r="AN130" i="8"/>
  <c r="AO130" i="8"/>
  <c r="AP130" i="8"/>
  <c r="AQ130" i="8"/>
  <c r="AR130" i="8"/>
  <c r="AS130" i="8"/>
  <c r="AT130" i="8"/>
  <c r="AG131" i="8"/>
  <c r="AI131" i="8"/>
  <c r="AK131" i="8"/>
  <c r="AM131" i="8"/>
  <c r="AO131" i="8"/>
  <c r="AQ131" i="8"/>
  <c r="AS131" i="8"/>
  <c r="AF132" i="8"/>
  <c r="AG132" i="8"/>
  <c r="AH132" i="8"/>
  <c r="AI132" i="8"/>
  <c r="AJ132" i="8"/>
  <c r="AK132" i="8"/>
  <c r="AL132" i="8"/>
  <c r="AM132" i="8"/>
  <c r="AN132" i="8"/>
  <c r="AO132" i="8"/>
  <c r="AP132" i="8"/>
  <c r="AQ132" i="8"/>
  <c r="AR132" i="8"/>
  <c r="AS132" i="8"/>
  <c r="AT132" i="8"/>
  <c r="AG133" i="8"/>
  <c r="AI133" i="8"/>
  <c r="AK133" i="8"/>
  <c r="AM133" i="8"/>
  <c r="AO133" i="8"/>
  <c r="AQ133" i="8"/>
  <c r="AS133" i="8"/>
  <c r="AF134" i="8"/>
  <c r="AG134" i="8"/>
  <c r="AH134" i="8"/>
  <c r="AI134" i="8"/>
  <c r="AJ134" i="8"/>
  <c r="AK134" i="8"/>
  <c r="AL134" i="8"/>
  <c r="AM134" i="8"/>
  <c r="AN134" i="8"/>
  <c r="AO134" i="8"/>
  <c r="AP134" i="8"/>
  <c r="AQ134" i="8"/>
  <c r="AR134" i="8"/>
  <c r="AS134" i="8"/>
  <c r="AT134" i="8"/>
  <c r="AG135" i="8"/>
  <c r="AI135" i="8"/>
  <c r="AK135" i="8"/>
  <c r="AM135" i="8"/>
  <c r="AO135" i="8"/>
  <c r="AQ135" i="8"/>
  <c r="AS135" i="8"/>
  <c r="AF136" i="8"/>
  <c r="AG136" i="8"/>
  <c r="AH136" i="8"/>
  <c r="AI136" i="8"/>
  <c r="AJ136" i="8"/>
  <c r="AK136" i="8"/>
  <c r="AL136" i="8"/>
  <c r="AM136" i="8"/>
  <c r="AN136" i="8"/>
  <c r="AO136" i="8"/>
  <c r="AP136" i="8"/>
  <c r="AQ136" i="8"/>
  <c r="AR136" i="8"/>
  <c r="AS136" i="8"/>
  <c r="AT136" i="8"/>
  <c r="AG137" i="8"/>
  <c r="AI137" i="8"/>
  <c r="AK137" i="8"/>
  <c r="AM137" i="8"/>
  <c r="AO137" i="8"/>
  <c r="AQ137" i="8"/>
  <c r="AS137" i="8"/>
  <c r="AF138" i="8"/>
  <c r="AG138" i="8"/>
  <c r="AH138" i="8"/>
  <c r="AI138" i="8"/>
  <c r="AJ138" i="8"/>
  <c r="AK138" i="8"/>
  <c r="AL138" i="8"/>
  <c r="AM138" i="8"/>
  <c r="AN138" i="8"/>
  <c r="AO138" i="8"/>
  <c r="AP138" i="8"/>
  <c r="AQ138" i="8"/>
  <c r="AR138" i="8"/>
  <c r="AS138" i="8"/>
  <c r="AT138" i="8"/>
  <c r="AG139" i="8"/>
  <c r="AI139" i="8"/>
  <c r="AK139" i="8"/>
  <c r="AM139" i="8"/>
  <c r="AO139" i="8"/>
  <c r="AQ139" i="8"/>
  <c r="AS139" i="8"/>
  <c r="AF140" i="8"/>
  <c r="AG140" i="8"/>
  <c r="AH140" i="8"/>
  <c r="AI140" i="8"/>
  <c r="AJ140" i="8"/>
  <c r="AK140" i="8"/>
  <c r="AL140" i="8"/>
  <c r="AM140" i="8"/>
  <c r="AN140" i="8"/>
  <c r="AO140" i="8"/>
  <c r="AP140" i="8"/>
  <c r="AQ140" i="8"/>
  <c r="AR140" i="8"/>
  <c r="AS140" i="8"/>
  <c r="AT140" i="8"/>
  <c r="AG141" i="8"/>
  <c r="AI141" i="8"/>
  <c r="AK141" i="8"/>
  <c r="AM141" i="8"/>
  <c r="AO141" i="8"/>
  <c r="AQ141" i="8"/>
  <c r="AS141" i="8"/>
  <c r="AF142" i="8"/>
  <c r="AG142" i="8"/>
  <c r="AH142" i="8"/>
  <c r="AI142" i="8"/>
  <c r="AJ142" i="8"/>
  <c r="AK142" i="8"/>
  <c r="AL142" i="8"/>
  <c r="AM142" i="8"/>
  <c r="AN142" i="8"/>
  <c r="AO142" i="8"/>
  <c r="AP142" i="8"/>
  <c r="AQ142" i="8"/>
  <c r="AR142" i="8"/>
  <c r="AS142" i="8"/>
  <c r="AT142" i="8"/>
  <c r="AG143" i="8"/>
  <c r="AI143" i="8"/>
  <c r="AK143" i="8"/>
  <c r="AM143" i="8"/>
  <c r="AO143" i="8"/>
  <c r="AQ143" i="8"/>
  <c r="AS143" i="8"/>
  <c r="AF144" i="8"/>
  <c r="AG144" i="8"/>
  <c r="AH144" i="8"/>
  <c r="AI144" i="8"/>
  <c r="AJ144" i="8"/>
  <c r="AK144" i="8"/>
  <c r="AL144" i="8"/>
  <c r="AM144" i="8"/>
  <c r="AN144" i="8"/>
  <c r="AO144" i="8"/>
  <c r="AP144" i="8"/>
  <c r="AQ144" i="8"/>
  <c r="AR144" i="8"/>
  <c r="AS144" i="8"/>
  <c r="AT144" i="8"/>
  <c r="AG145" i="8"/>
  <c r="AI145" i="8"/>
  <c r="AK145" i="8"/>
  <c r="AM145" i="8"/>
  <c r="AO145" i="8"/>
  <c r="AQ145" i="8"/>
  <c r="AS145" i="8"/>
  <c r="AF146" i="8"/>
  <c r="AG146" i="8"/>
  <c r="AH146" i="8"/>
  <c r="AI146" i="8"/>
  <c r="AJ146" i="8"/>
  <c r="AK146" i="8"/>
  <c r="AL146" i="8"/>
  <c r="AM146" i="8"/>
  <c r="AN146" i="8"/>
  <c r="AO146" i="8"/>
  <c r="AP146" i="8"/>
  <c r="AQ146" i="8"/>
  <c r="AR146" i="8"/>
  <c r="AS146" i="8"/>
  <c r="AT146" i="8"/>
  <c r="AG147" i="8"/>
  <c r="AI147" i="8"/>
  <c r="AK147" i="8"/>
  <c r="AM147" i="8"/>
  <c r="AO147" i="8"/>
  <c r="AQ147" i="8"/>
  <c r="AS147" i="8"/>
  <c r="AF148" i="8"/>
  <c r="AG148" i="8"/>
  <c r="AH148" i="8"/>
  <c r="AI148" i="8"/>
  <c r="AJ148" i="8"/>
  <c r="AK148" i="8"/>
  <c r="AL148" i="8"/>
  <c r="AM148" i="8"/>
  <c r="AN148" i="8"/>
  <c r="AO148" i="8"/>
  <c r="AP148" i="8"/>
  <c r="AQ148" i="8"/>
  <c r="AR148" i="8"/>
  <c r="AS148" i="8"/>
  <c r="AT148" i="8"/>
  <c r="AG149" i="8"/>
  <c r="AI149" i="8"/>
  <c r="AK149" i="8"/>
  <c r="AM149" i="8"/>
  <c r="AO149" i="8"/>
  <c r="AQ149" i="8"/>
  <c r="AS149" i="8"/>
  <c r="AF150" i="8"/>
  <c r="AG150" i="8"/>
  <c r="AH150" i="8"/>
  <c r="AI150" i="8"/>
  <c r="AJ150" i="8"/>
  <c r="AK150" i="8"/>
  <c r="AL150" i="8"/>
  <c r="AM150" i="8"/>
  <c r="AN150" i="8"/>
  <c r="AO150" i="8"/>
  <c r="AP150" i="8"/>
  <c r="AQ150" i="8"/>
  <c r="AR150" i="8"/>
  <c r="AS150" i="8"/>
  <c r="AT150" i="8"/>
  <c r="AG151" i="8"/>
  <c r="AI151" i="8"/>
  <c r="AK151" i="8"/>
  <c r="AM151" i="8"/>
  <c r="AO151" i="8"/>
  <c r="AQ151" i="8"/>
  <c r="AS151" i="8"/>
  <c r="AF152" i="8"/>
  <c r="AG152" i="8"/>
  <c r="AH152" i="8"/>
  <c r="AI152" i="8"/>
  <c r="AJ152" i="8"/>
  <c r="AK152" i="8"/>
  <c r="AL152" i="8"/>
  <c r="AM152" i="8"/>
  <c r="AN152" i="8"/>
  <c r="AO152" i="8"/>
  <c r="AP152" i="8"/>
  <c r="AQ152" i="8"/>
  <c r="AR152" i="8"/>
  <c r="AS152" i="8"/>
  <c r="AT152" i="8"/>
  <c r="AG153" i="8"/>
  <c r="AI153" i="8"/>
  <c r="AK153" i="8"/>
  <c r="AM153" i="8"/>
  <c r="AO153" i="8"/>
  <c r="AQ153" i="8"/>
  <c r="AS153" i="8"/>
  <c r="AF154" i="8"/>
  <c r="AG154" i="8"/>
  <c r="AH154" i="8"/>
  <c r="AI154" i="8"/>
  <c r="AJ154" i="8"/>
  <c r="AK154" i="8"/>
  <c r="AL154" i="8"/>
  <c r="AM154" i="8"/>
  <c r="AN154" i="8"/>
  <c r="AO154" i="8"/>
  <c r="AP154" i="8"/>
  <c r="AQ154" i="8"/>
  <c r="AR154" i="8"/>
  <c r="AS154" i="8"/>
  <c r="AT154" i="8"/>
  <c r="AG155" i="8"/>
  <c r="AI155" i="8"/>
  <c r="AK155" i="8"/>
  <c r="AM155" i="8"/>
  <c r="AO155" i="8"/>
  <c r="AQ155" i="8"/>
  <c r="AS155" i="8"/>
  <c r="AF156" i="8"/>
  <c r="AG156" i="8"/>
  <c r="AH156" i="8"/>
  <c r="AI156" i="8"/>
  <c r="AJ156" i="8"/>
  <c r="AK156" i="8"/>
  <c r="AL156" i="8"/>
  <c r="AM156" i="8"/>
  <c r="AN156" i="8"/>
  <c r="AO156" i="8"/>
  <c r="AP156" i="8"/>
  <c r="AQ156" i="8"/>
  <c r="AR156" i="8"/>
  <c r="AS156" i="8"/>
  <c r="AT156" i="8"/>
  <c r="AF157" i="8"/>
  <c r="AH157" i="8"/>
  <c r="AJ157" i="8"/>
  <c r="AL157" i="8"/>
  <c r="AN157" i="8"/>
  <c r="AP157" i="8"/>
  <c r="AR157" i="8"/>
  <c r="AT157" i="8"/>
  <c r="AF158" i="8"/>
  <c r="AG158" i="8"/>
  <c r="AH158" i="8"/>
  <c r="AI158" i="8"/>
  <c r="AJ158" i="8"/>
  <c r="AK158" i="8"/>
  <c r="AL158" i="8"/>
  <c r="AM158" i="8"/>
  <c r="AN158" i="8"/>
  <c r="AO158" i="8"/>
  <c r="AP158" i="8"/>
  <c r="AQ158" i="8"/>
  <c r="AR158" i="8"/>
  <c r="AS158" i="8"/>
  <c r="AT158" i="8"/>
  <c r="AF159" i="8"/>
  <c r="AH159" i="8"/>
  <c r="AJ159" i="8"/>
  <c r="AL159" i="8"/>
  <c r="AN159" i="8"/>
  <c r="AP159" i="8"/>
  <c r="AR159" i="8"/>
  <c r="AT159" i="8"/>
  <c r="AF160" i="8"/>
  <c r="AG160" i="8"/>
  <c r="AH160" i="8"/>
  <c r="AI160" i="8"/>
  <c r="AJ160" i="8"/>
  <c r="AK160" i="8"/>
  <c r="AL160" i="8"/>
  <c r="AM160" i="8"/>
  <c r="AN160" i="8"/>
  <c r="AO160" i="8"/>
  <c r="AP160" i="8"/>
  <c r="AQ160" i="8"/>
  <c r="AR160" i="8"/>
  <c r="AS160" i="8"/>
  <c r="AT160" i="8"/>
  <c r="AF161" i="8"/>
  <c r="AH161" i="8"/>
  <c r="AJ161" i="8"/>
  <c r="AL161" i="8"/>
  <c r="AN161" i="8"/>
  <c r="AP161" i="8"/>
  <c r="AR161" i="8"/>
  <c r="AT161" i="8"/>
  <c r="AF162" i="8"/>
  <c r="AG162" i="8"/>
  <c r="AH162" i="8"/>
  <c r="AI162" i="8"/>
  <c r="AJ162" i="8"/>
  <c r="AK162" i="8"/>
  <c r="AL162" i="8"/>
  <c r="AM162" i="8"/>
  <c r="AN162" i="8"/>
  <c r="AO162" i="8"/>
  <c r="AP162" i="8"/>
  <c r="AQ162" i="8"/>
  <c r="AR162" i="8"/>
  <c r="AS162" i="8"/>
  <c r="AT162" i="8"/>
  <c r="AF163" i="8"/>
  <c r="AH163" i="8"/>
  <c r="AJ163" i="8"/>
  <c r="AL163" i="8"/>
  <c r="AN163" i="8"/>
  <c r="AP163" i="8"/>
  <c r="AR163" i="8"/>
  <c r="AT163" i="8"/>
  <c r="AP166" i="8"/>
  <c r="AQ166" i="8"/>
  <c r="AR166" i="8"/>
  <c r="AT166" i="8"/>
  <c r="AG165" i="8"/>
  <c r="AH165" i="8"/>
  <c r="AI165" i="8"/>
  <c r="AJ165" i="8"/>
  <c r="AK165" i="8"/>
  <c r="AL165" i="8"/>
  <c r="AM165" i="8"/>
  <c r="AN165" i="8"/>
  <c r="AO165" i="8"/>
  <c r="AP165" i="8"/>
  <c r="AQ165" i="8"/>
  <c r="AR165" i="8"/>
  <c r="AS165" i="8"/>
  <c r="AT165" i="8"/>
  <c r="AF165" i="8"/>
  <c r="AS113" i="8"/>
  <c r="AT113" i="8"/>
  <c r="AG113" i="8"/>
  <c r="AH113" i="8"/>
  <c r="AI113" i="8"/>
  <c r="AJ113" i="8"/>
  <c r="AK113" i="8"/>
  <c r="AL113" i="8"/>
  <c r="AM113" i="8"/>
  <c r="AN113" i="8"/>
  <c r="AO113" i="8"/>
  <c r="AP113" i="8"/>
  <c r="AQ113" i="8"/>
  <c r="AR113" i="8"/>
  <c r="AF113" i="8"/>
  <c r="V116" i="8"/>
  <c r="V117" i="8"/>
  <c r="V119" i="8"/>
  <c r="V121" i="8"/>
  <c r="V122" i="8"/>
  <c r="V124" i="8"/>
  <c r="V126" i="8"/>
  <c r="V128" i="8"/>
  <c r="V130" i="8"/>
  <c r="V132" i="8"/>
  <c r="V134" i="8"/>
  <c r="V136" i="8"/>
  <c r="V138" i="8"/>
  <c r="V140" i="8"/>
  <c r="V142" i="8"/>
  <c r="V144" i="8"/>
  <c r="V146" i="8"/>
  <c r="V148" i="8"/>
  <c r="V150" i="8"/>
  <c r="V152" i="8"/>
  <c r="V154" i="8"/>
  <c r="V156" i="8"/>
  <c r="V158" i="8"/>
  <c r="V160" i="8"/>
  <c r="V162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C164" i="8"/>
  <c r="V114" i="8"/>
  <c r="V115" i="8"/>
  <c r="F80" i="8"/>
  <c r="D80" i="8"/>
  <c r="E80" i="8"/>
  <c r="G80" i="8"/>
  <c r="H80" i="8"/>
  <c r="I80" i="8"/>
  <c r="J80" i="8"/>
  <c r="K80" i="8"/>
  <c r="L80" i="8"/>
  <c r="M80" i="8"/>
  <c r="N80" i="8"/>
  <c r="O80" i="8"/>
  <c r="P80" i="8"/>
  <c r="Q80" i="8"/>
  <c r="C80" i="8"/>
  <c r="L1" i="8"/>
  <c r="A36" i="12"/>
  <c r="A37" i="12"/>
  <c r="A39" i="12"/>
  <c r="A40" i="12"/>
  <c r="A41" i="12"/>
  <c r="A33" i="12"/>
  <c r="A34" i="12"/>
  <c r="A35" i="12"/>
  <c r="A32" i="12"/>
  <c r="A28" i="12"/>
  <c r="A29" i="12"/>
  <c r="A30" i="12"/>
  <c r="A31" i="12"/>
  <c r="A25" i="12"/>
  <c r="A26" i="12"/>
  <c r="A27" i="12"/>
  <c r="A24" i="12"/>
  <c r="A19" i="12"/>
  <c r="A20" i="12"/>
  <c r="A21" i="12"/>
  <c r="A15" i="12"/>
  <c r="A12" i="12"/>
  <c r="A13" i="12"/>
  <c r="N6" i="12"/>
  <c r="A41" i="13"/>
  <c r="A40" i="13"/>
  <c r="A39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1" i="13"/>
  <c r="A20" i="13"/>
  <c r="A19" i="13"/>
  <c r="A15" i="13"/>
  <c r="A13" i="13"/>
  <c r="A12" i="13"/>
  <c r="N6" i="13"/>
  <c r="A41" i="14"/>
  <c r="A40" i="14"/>
  <c r="A39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1" i="14"/>
  <c r="A20" i="14"/>
  <c r="A19" i="14"/>
  <c r="A15" i="14"/>
  <c r="A13" i="14"/>
  <c r="A12" i="14"/>
  <c r="N6" i="14"/>
  <c r="J191" i="8"/>
  <c r="W194" i="8"/>
  <c r="J181" i="8"/>
  <c r="W184" i="8"/>
  <c r="AC52" i="8"/>
  <c r="BB52" i="8"/>
  <c r="AC50" i="8"/>
  <c r="BB50" i="8"/>
  <c r="AC48" i="8"/>
  <c r="BB48" i="8"/>
  <c r="AC46" i="8"/>
  <c r="BB46" i="8"/>
  <c r="AC44" i="8"/>
  <c r="BB44" i="8"/>
  <c r="AC42" i="8"/>
  <c r="BB42" i="8"/>
  <c r="AC40" i="8"/>
  <c r="BB40" i="8"/>
  <c r="AC38" i="8"/>
  <c r="BB38" i="8"/>
  <c r="AC36" i="8"/>
  <c r="BB36" i="8"/>
  <c r="AC34" i="8"/>
  <c r="BB34" i="8"/>
  <c r="AC32" i="8"/>
  <c r="BB32" i="8"/>
  <c r="AC30" i="8"/>
  <c r="BB30" i="8"/>
  <c r="AC28" i="8"/>
  <c r="BB28" i="8"/>
  <c r="AC26" i="8"/>
  <c r="BB26" i="8"/>
  <c r="AC24" i="8"/>
  <c r="BB24" i="8"/>
  <c r="AC22" i="8"/>
  <c r="BB22" i="8"/>
  <c r="AC20" i="8"/>
  <c r="BB20" i="8"/>
  <c r="AC18" i="8"/>
  <c r="BB18" i="8"/>
  <c r="AC16" i="8"/>
  <c r="BB16" i="8"/>
  <c r="AC14" i="8"/>
  <c r="AC12" i="8"/>
  <c r="K55" i="7"/>
  <c r="AC53" i="8"/>
  <c r="BB53" i="8"/>
  <c r="AC51" i="8"/>
  <c r="BB51" i="8"/>
  <c r="AC49" i="8"/>
  <c r="BB49" i="8"/>
  <c r="AC47" i="8"/>
  <c r="BB47" i="8"/>
  <c r="AC45" i="8"/>
  <c r="BB45" i="8"/>
  <c r="AC43" i="8"/>
  <c r="BB43" i="8"/>
  <c r="AC41" i="8"/>
  <c r="BB41" i="8"/>
  <c r="AC39" i="8"/>
  <c r="BB39" i="8"/>
  <c r="AC37" i="8"/>
  <c r="BB37" i="8"/>
  <c r="AC35" i="8"/>
  <c r="BB35" i="8"/>
  <c r="AC33" i="8"/>
  <c r="BB33" i="8"/>
  <c r="AC31" i="8"/>
  <c r="BB31" i="8"/>
  <c r="AC29" i="8"/>
  <c r="BB29" i="8"/>
  <c r="AC27" i="8"/>
  <c r="BB27" i="8"/>
  <c r="AC25" i="8"/>
  <c r="BB25" i="8"/>
  <c r="AC23" i="8"/>
  <c r="BB23" i="8"/>
  <c r="AC21" i="8"/>
  <c r="BB21" i="8"/>
  <c r="AC19" i="8"/>
  <c r="BB19" i="8"/>
  <c r="AC17" i="8"/>
  <c r="BB17" i="8"/>
  <c r="AC15" i="8"/>
  <c r="AC13" i="8"/>
  <c r="AC11" i="8"/>
  <c r="F25" i="5"/>
  <c r="K25" i="5"/>
  <c r="F23" i="5"/>
  <c r="K23" i="5"/>
  <c r="AE126" i="8"/>
  <c r="AH14" i="8"/>
  <c r="AH13" i="8"/>
  <c r="AH12" i="8"/>
  <c r="AH11" i="8"/>
  <c r="BS54" i="8"/>
  <c r="J186" i="8"/>
  <c r="L104" i="8"/>
  <c r="AO166" i="8"/>
  <c r="P104" i="8"/>
  <c r="AS166" i="8"/>
  <c r="BQ11" i="8"/>
  <c r="BB11" i="8"/>
  <c r="AU158" i="8"/>
  <c r="AC6" i="8"/>
  <c r="AC9" i="8"/>
  <c r="AU162" i="8"/>
  <c r="AU160" i="8"/>
  <c r="AU156" i="8"/>
  <c r="AQ127" i="8"/>
  <c r="AM127" i="8"/>
  <c r="AI127" i="8"/>
  <c r="M204" i="8"/>
  <c r="AB189" i="8"/>
  <c r="J189" i="8"/>
  <c r="AB187" i="8"/>
  <c r="J187" i="8"/>
  <c r="S8" i="8"/>
  <c r="AH10" i="8"/>
  <c r="AC10" i="8"/>
  <c r="AC7" i="8"/>
  <c r="AC5" i="8"/>
  <c r="AB115" i="8"/>
  <c r="Z5" i="8"/>
  <c r="AU154" i="8"/>
  <c r="AU152" i="8"/>
  <c r="AU150" i="8"/>
  <c r="AU148" i="8"/>
  <c r="AU146" i="8"/>
  <c r="AU144" i="8"/>
  <c r="AU142" i="8"/>
  <c r="AU140" i="8"/>
  <c r="AU138" i="8"/>
  <c r="AU136" i="8"/>
  <c r="AU134" i="8"/>
  <c r="AU132" i="8"/>
  <c r="AU130" i="8"/>
  <c r="AU128" i="8"/>
  <c r="V163" i="8"/>
  <c r="V161" i="8"/>
  <c r="V159" i="8"/>
  <c r="V157" i="8"/>
  <c r="V155" i="8"/>
  <c r="V153" i="8"/>
  <c r="V151" i="8"/>
  <c r="V149" i="8"/>
  <c r="V147" i="8"/>
  <c r="V145" i="8"/>
  <c r="V143" i="8"/>
  <c r="V141" i="8"/>
  <c r="V139" i="8"/>
  <c r="V137" i="8"/>
  <c r="V135" i="8"/>
  <c r="V133" i="8"/>
  <c r="V131" i="8"/>
  <c r="V129" i="8"/>
  <c r="V127" i="8"/>
  <c r="V125" i="8"/>
  <c r="V123" i="8"/>
  <c r="AS163" i="8"/>
  <c r="AQ163" i="8"/>
  <c r="AO163" i="8"/>
  <c r="AM163" i="8"/>
  <c r="AK163" i="8"/>
  <c r="AI163" i="8"/>
  <c r="AS161" i="8"/>
  <c r="AQ161" i="8"/>
  <c r="AO161" i="8"/>
  <c r="AM161" i="8"/>
  <c r="AK161" i="8"/>
  <c r="AI161" i="8"/>
  <c r="AS159" i="8"/>
  <c r="AQ159" i="8"/>
  <c r="AO159" i="8"/>
  <c r="AM159" i="8"/>
  <c r="AK159" i="8"/>
  <c r="AI159" i="8"/>
  <c r="AS157" i="8"/>
  <c r="AQ157" i="8"/>
  <c r="AO157" i="8"/>
  <c r="AM157" i="8"/>
  <c r="AK157" i="8"/>
  <c r="AI157" i="8"/>
  <c r="AT155" i="8"/>
  <c r="AR155" i="8"/>
  <c r="AP155" i="8"/>
  <c r="AN155" i="8"/>
  <c r="AL155" i="8"/>
  <c r="AJ155" i="8"/>
  <c r="AH155" i="8"/>
  <c r="AT153" i="8"/>
  <c r="AR153" i="8"/>
  <c r="AP153" i="8"/>
  <c r="AN153" i="8"/>
  <c r="AL153" i="8"/>
  <c r="AJ153" i="8"/>
  <c r="AH153" i="8"/>
  <c r="AT151" i="8"/>
  <c r="AR151" i="8"/>
  <c r="AP151" i="8"/>
  <c r="AN151" i="8"/>
  <c r="AL151" i="8"/>
  <c r="AJ151" i="8"/>
  <c r="AH151" i="8"/>
  <c r="AT149" i="8"/>
  <c r="AR149" i="8"/>
  <c r="AP149" i="8"/>
  <c r="AN149" i="8"/>
  <c r="AL149" i="8"/>
  <c r="AJ149" i="8"/>
  <c r="AH149" i="8"/>
  <c r="AT147" i="8"/>
  <c r="AR147" i="8"/>
  <c r="AP147" i="8"/>
  <c r="AN147" i="8"/>
  <c r="AL147" i="8"/>
  <c r="AJ147" i="8"/>
  <c r="AH147" i="8"/>
  <c r="AT145" i="8"/>
  <c r="AR145" i="8"/>
  <c r="AP145" i="8"/>
  <c r="AN145" i="8"/>
  <c r="AL145" i="8"/>
  <c r="AJ145" i="8"/>
  <c r="AH145" i="8"/>
  <c r="AT143" i="8"/>
  <c r="AR143" i="8"/>
  <c r="AP143" i="8"/>
  <c r="AN143" i="8"/>
  <c r="AL143" i="8"/>
  <c r="AJ143" i="8"/>
  <c r="AH143" i="8"/>
  <c r="AT141" i="8"/>
  <c r="AR141" i="8"/>
  <c r="AP141" i="8"/>
  <c r="AN141" i="8"/>
  <c r="AL141" i="8"/>
  <c r="AJ141" i="8"/>
  <c r="AH141" i="8"/>
  <c r="AT139" i="8"/>
  <c r="AR139" i="8"/>
  <c r="AP139" i="8"/>
  <c r="AN139" i="8"/>
  <c r="AL139" i="8"/>
  <c r="AJ139" i="8"/>
  <c r="AH139" i="8"/>
  <c r="AT137" i="8"/>
  <c r="AR137" i="8"/>
  <c r="AP137" i="8"/>
  <c r="AN137" i="8"/>
  <c r="AL137" i="8"/>
  <c r="AJ137" i="8"/>
  <c r="AH137" i="8"/>
  <c r="AT135" i="8"/>
  <c r="AR135" i="8"/>
  <c r="AP135" i="8"/>
  <c r="AN135" i="8"/>
  <c r="AL135" i="8"/>
  <c r="AJ135" i="8"/>
  <c r="AH135" i="8"/>
  <c r="AT133" i="8"/>
  <c r="AR133" i="8"/>
  <c r="AP133" i="8"/>
  <c r="AN133" i="8"/>
  <c r="AL133" i="8"/>
  <c r="AJ133" i="8"/>
  <c r="AH133" i="8"/>
  <c r="AT131" i="8"/>
  <c r="AR131" i="8"/>
  <c r="AP131" i="8"/>
  <c r="AN131" i="8"/>
  <c r="AL131" i="8"/>
  <c r="AJ131" i="8"/>
  <c r="AH131" i="8"/>
  <c r="AT129" i="8"/>
  <c r="AR129" i="8"/>
  <c r="AP129" i="8"/>
  <c r="AN129" i="8"/>
  <c r="AL129" i="8"/>
  <c r="AJ129" i="8"/>
  <c r="AH129" i="8"/>
  <c r="AT127" i="8"/>
  <c r="AR127" i="8"/>
  <c r="AP127" i="8"/>
  <c r="AN127" i="8"/>
  <c r="AL127" i="8"/>
  <c r="AJ127" i="8"/>
  <c r="AH127" i="8"/>
  <c r="AH5" i="8"/>
  <c r="AH6" i="8"/>
  <c r="AH9" i="8"/>
  <c r="AH8" i="8"/>
  <c r="AF118" i="8"/>
  <c r="AG118" i="8"/>
  <c r="AH118" i="8"/>
  <c r="AK118" i="8"/>
  <c r="AI118" i="8"/>
  <c r="AJ118" i="8"/>
  <c r="AL118" i="8"/>
  <c r="AM118" i="8"/>
  <c r="AN118" i="8"/>
  <c r="AO118" i="8"/>
  <c r="AP118" i="8"/>
  <c r="AQ118" i="8"/>
  <c r="AR118" i="8"/>
  <c r="AS118" i="8"/>
  <c r="AT118" i="8"/>
  <c r="AU118" i="8"/>
  <c r="BC54" i="8"/>
  <c r="AH7" i="8"/>
  <c r="AH4" i="8"/>
  <c r="Y52" i="8"/>
  <c r="AB52" i="8"/>
  <c r="Y50" i="8"/>
  <c r="AB50" i="8"/>
  <c r="Y48" i="8"/>
  <c r="AB48" i="8"/>
  <c r="Y46" i="8"/>
  <c r="AB46" i="8"/>
  <c r="Y44" i="8"/>
  <c r="AB44" i="8"/>
  <c r="Y42" i="8"/>
  <c r="AB42" i="8"/>
  <c r="Y40" i="8"/>
  <c r="AB40" i="8"/>
  <c r="Y38" i="8"/>
  <c r="AB38" i="8"/>
  <c r="Y36" i="8"/>
  <c r="AB36" i="8"/>
  <c r="Y34" i="8"/>
  <c r="AB34" i="8"/>
  <c r="Y32" i="8"/>
  <c r="AB32" i="8"/>
  <c r="Y30" i="8"/>
  <c r="AB30" i="8"/>
  <c r="Y28" i="8"/>
  <c r="AB28" i="8"/>
  <c r="Y26" i="8"/>
  <c r="AB26" i="8"/>
  <c r="Y24" i="8"/>
  <c r="AB24" i="8"/>
  <c r="Y22" i="8"/>
  <c r="AB22" i="8"/>
  <c r="Y20" i="8"/>
  <c r="AB20" i="8"/>
  <c r="Y18" i="8"/>
  <c r="AB18" i="8"/>
  <c r="Y16" i="8"/>
  <c r="AB16" i="8"/>
  <c r="J55" i="7"/>
  <c r="K56" i="7"/>
  <c r="K57" i="7"/>
  <c r="I57" i="7"/>
  <c r="F57" i="7"/>
  <c r="BQ5" i="8"/>
  <c r="AE115" i="8"/>
  <c r="BB5" i="8"/>
  <c r="AB53" i="8"/>
  <c r="Y53" i="8"/>
  <c r="AB51" i="8"/>
  <c r="Y51" i="8"/>
  <c r="AB49" i="8"/>
  <c r="Y49" i="8"/>
  <c r="AB47" i="8"/>
  <c r="Y47" i="8"/>
  <c r="AB45" i="8"/>
  <c r="Y45" i="8"/>
  <c r="AB43" i="8"/>
  <c r="Y43" i="8"/>
  <c r="AB41" i="8"/>
  <c r="Y41" i="8"/>
  <c r="AB39" i="8"/>
  <c r="Y39" i="8"/>
  <c r="AB37" i="8"/>
  <c r="Y37" i="8"/>
  <c r="AB35" i="8"/>
  <c r="Y35" i="8"/>
  <c r="AB33" i="8"/>
  <c r="Y33" i="8"/>
  <c r="AB31" i="8"/>
  <c r="Y31" i="8"/>
  <c r="AB29" i="8"/>
  <c r="Y29" i="8"/>
  <c r="AB27" i="8"/>
  <c r="Y27" i="8"/>
  <c r="AB25" i="8"/>
  <c r="Y25" i="8"/>
  <c r="AB23" i="8"/>
  <c r="Y23" i="8"/>
  <c r="AB21" i="8"/>
  <c r="Y21" i="8"/>
  <c r="AB19" i="8"/>
  <c r="Y19" i="8"/>
  <c r="AB17" i="8"/>
  <c r="Y17" i="8"/>
  <c r="BB6" i="8"/>
  <c r="L26" i="5"/>
  <c r="BQ4" i="8"/>
  <c r="S4" i="8"/>
  <c r="BB4" i="8"/>
  <c r="AT6" i="8"/>
  <c r="AU5" i="8"/>
  <c r="E20" i="5"/>
  <c r="N14" i="12"/>
  <c r="E23" i="5"/>
  <c r="E27" i="5"/>
  <c r="E24" i="5"/>
  <c r="N13" i="12"/>
  <c r="E26" i="5"/>
  <c r="N15" i="12"/>
  <c r="M15" i="12"/>
  <c r="G23" i="5"/>
  <c r="G25" i="5"/>
  <c r="F24" i="5"/>
  <c r="N13" i="13"/>
  <c r="AI4" i="8"/>
  <c r="AI5" i="8"/>
  <c r="AI6" i="8"/>
  <c r="AI7" i="8"/>
  <c r="AI8" i="8"/>
  <c r="AJ7" i="8"/>
  <c r="AJ6" i="8"/>
  <c r="AJ5" i="8"/>
  <c r="AJ4" i="8"/>
  <c r="AU78" i="8"/>
  <c r="AU76" i="8"/>
  <c r="AU74" i="8"/>
  <c r="AU72" i="8"/>
  <c r="AU70" i="8"/>
  <c r="AU68" i="8"/>
  <c r="AU66" i="8"/>
  <c r="AU79" i="8"/>
  <c r="AU77" i="8"/>
  <c r="AU75" i="8"/>
  <c r="AU69" i="8"/>
  <c r="AU67" i="8"/>
  <c r="AU65" i="8"/>
  <c r="J24" i="5"/>
  <c r="BB13" i="8"/>
  <c r="BQ13" i="8"/>
  <c r="BB12" i="8"/>
  <c r="BQ12" i="8"/>
  <c r="AU129" i="8"/>
  <c r="AU133" i="8"/>
  <c r="AU137" i="8"/>
  <c r="AU141" i="8"/>
  <c r="AU145" i="8"/>
  <c r="AU149" i="8"/>
  <c r="AU153" i="8"/>
  <c r="AU157" i="8"/>
  <c r="AU159" i="8"/>
  <c r="AU161" i="8"/>
  <c r="AU163" i="8"/>
  <c r="BB15" i="8"/>
  <c r="BQ15" i="8"/>
  <c r="BB14" i="8"/>
  <c r="BQ14" i="8"/>
  <c r="AE121" i="8"/>
  <c r="S11" i="8"/>
  <c r="AF126" i="8"/>
  <c r="AH126" i="8"/>
  <c r="AJ126" i="8"/>
  <c r="AL126" i="8"/>
  <c r="AN126" i="8"/>
  <c r="AP126" i="8"/>
  <c r="AR126" i="8"/>
  <c r="AT126" i="8"/>
  <c r="AG126" i="8"/>
  <c r="AI126" i="8"/>
  <c r="AK126" i="8"/>
  <c r="AM126" i="8"/>
  <c r="AO126" i="8"/>
  <c r="AQ126" i="8"/>
  <c r="AS126" i="8"/>
  <c r="BB10" i="8"/>
  <c r="BQ10" i="8"/>
  <c r="AE120" i="8"/>
  <c r="BB7" i="8"/>
  <c r="BQ7" i="8"/>
  <c r="S7" i="8"/>
  <c r="BB9" i="8"/>
  <c r="BB54" i="8"/>
  <c r="BQ9" i="8"/>
  <c r="AE119" i="8"/>
  <c r="S9" i="8"/>
  <c r="W189" i="8"/>
  <c r="BQ6" i="8"/>
  <c r="BQ54" i="8"/>
  <c r="S5" i="8"/>
  <c r="AM121" i="8"/>
  <c r="AS121" i="8"/>
  <c r="AK121" i="8"/>
  <c r="AU127" i="8"/>
  <c r="AU131" i="8"/>
  <c r="AU135" i="8"/>
  <c r="AU139" i="8"/>
  <c r="AU143" i="8"/>
  <c r="AU147" i="8"/>
  <c r="AU151" i="8"/>
  <c r="AU155" i="8"/>
  <c r="AE114" i="8"/>
  <c r="AG115" i="8"/>
  <c r="AH115" i="8"/>
  <c r="AI115" i="8"/>
  <c r="AJ115" i="8"/>
  <c r="AK115" i="8"/>
  <c r="AL115" i="8"/>
  <c r="AM115" i="8"/>
  <c r="AN115" i="8"/>
  <c r="AO115" i="8"/>
  <c r="AP115" i="8"/>
  <c r="AQ115" i="8"/>
  <c r="AR115" i="8"/>
  <c r="AS115" i="8"/>
  <c r="AT115" i="8"/>
  <c r="AF115" i="8"/>
  <c r="AT7" i="8"/>
  <c r="AU6" i="8"/>
  <c r="S14" i="8"/>
  <c r="AE124" i="8"/>
  <c r="S15" i="8"/>
  <c r="AE125" i="8"/>
  <c r="S12" i="8"/>
  <c r="AE122" i="8"/>
  <c r="S13" i="8"/>
  <c r="AE123" i="8"/>
  <c r="AF121" i="8"/>
  <c r="AG121" i="8"/>
  <c r="AI121" i="8"/>
  <c r="AP121" i="8"/>
  <c r="AO121" i="8"/>
  <c r="AQ121" i="8"/>
  <c r="AR121" i="8"/>
  <c r="AN121" i="8"/>
  <c r="AJ121" i="8"/>
  <c r="AT121" i="8"/>
  <c r="AL121" i="8"/>
  <c r="AH121" i="8"/>
  <c r="S10" i="8"/>
  <c r="AE117" i="8"/>
  <c r="AE116" i="8"/>
  <c r="S6" i="8"/>
  <c r="S54" i="8"/>
  <c r="S55" i="8"/>
  <c r="AU126" i="8"/>
  <c r="AF117" i="8"/>
  <c r="AI117" i="8"/>
  <c r="AM117" i="8"/>
  <c r="AQ117" i="8"/>
  <c r="AT117" i="8"/>
  <c r="AR117" i="8"/>
  <c r="AP117" i="8"/>
  <c r="AN117" i="8"/>
  <c r="AL117" i="8"/>
  <c r="AJ117" i="8"/>
  <c r="AH117" i="8"/>
  <c r="AG117" i="8"/>
  <c r="AK117" i="8"/>
  <c r="AO117" i="8"/>
  <c r="AS117" i="8"/>
  <c r="AH120" i="8"/>
  <c r="AL120" i="8"/>
  <c r="AP120" i="8"/>
  <c r="AT120" i="8"/>
  <c r="AG120" i="8"/>
  <c r="AK120" i="8"/>
  <c r="AO120" i="8"/>
  <c r="AS120" i="8"/>
  <c r="AI120" i="8"/>
  <c r="AM120" i="8"/>
  <c r="AQ120" i="8"/>
  <c r="AF120" i="8"/>
  <c r="AJ120" i="8"/>
  <c r="AN120" i="8"/>
  <c r="AR120" i="8"/>
  <c r="AF119" i="8"/>
  <c r="AI119" i="8"/>
  <c r="AM119" i="8"/>
  <c r="AQ119" i="8"/>
  <c r="AG119" i="8"/>
  <c r="AK119" i="8"/>
  <c r="X125" i="8"/>
  <c r="X124" i="8"/>
  <c r="X123" i="8"/>
  <c r="X122" i="8"/>
  <c r="X121" i="8"/>
  <c r="X120" i="8"/>
  <c r="X119" i="8"/>
  <c r="X118" i="8"/>
  <c r="X117" i="8"/>
  <c r="X116" i="8"/>
  <c r="X115" i="8"/>
  <c r="X114" i="8"/>
  <c r="AO119" i="8"/>
  <c r="AS119" i="8"/>
  <c r="AR119" i="8"/>
  <c r="AN119" i="8"/>
  <c r="AJ119" i="8"/>
  <c r="AT119" i="8"/>
  <c r="AP119" i="8"/>
  <c r="AL119" i="8"/>
  <c r="AH119" i="8"/>
  <c r="AT8" i="8"/>
  <c r="AU7" i="8"/>
  <c r="AF114" i="8"/>
  <c r="AG114" i="8"/>
  <c r="AH114" i="8"/>
  <c r="AI114" i="8"/>
  <c r="AJ114" i="8"/>
  <c r="AK114" i="8"/>
  <c r="AL114" i="8"/>
  <c r="AM114" i="8"/>
  <c r="AN114" i="8"/>
  <c r="AO114" i="8"/>
  <c r="AP114" i="8"/>
  <c r="AQ114" i="8"/>
  <c r="AR114" i="8"/>
  <c r="AS114" i="8"/>
  <c r="AS164" i="8"/>
  <c r="AS167" i="8"/>
  <c r="AT114" i="8"/>
  <c r="AI122" i="8"/>
  <c r="AM122" i="8"/>
  <c r="AQ122" i="8"/>
  <c r="AF122" i="8"/>
  <c r="AJ122" i="8"/>
  <c r="AN122" i="8"/>
  <c r="AN116" i="8"/>
  <c r="AN123" i="8"/>
  <c r="AN124" i="8"/>
  <c r="AN125" i="8"/>
  <c r="AN164" i="8"/>
  <c r="AR122" i="8"/>
  <c r="AG122" i="8"/>
  <c r="AK122" i="8"/>
  <c r="AO122" i="8"/>
  <c r="AS122" i="8"/>
  <c r="AH122" i="8"/>
  <c r="AL122" i="8"/>
  <c r="AP122" i="8"/>
  <c r="AT122" i="8"/>
  <c r="AK124" i="8"/>
  <c r="AO124" i="8"/>
  <c r="AH124" i="8"/>
  <c r="AL124" i="8"/>
  <c r="AP124" i="8"/>
  <c r="AT124" i="8"/>
  <c r="AQ124" i="8"/>
  <c r="AG124" i="8"/>
  <c r="AM124" i="8"/>
  <c r="AF124" i="8"/>
  <c r="AJ124" i="8"/>
  <c r="AR124" i="8"/>
  <c r="AI124" i="8"/>
  <c r="AS124" i="8"/>
  <c r="AU121" i="8"/>
  <c r="AQ123" i="8"/>
  <c r="AI123" i="8"/>
  <c r="AT123" i="8"/>
  <c r="AP123" i="8"/>
  <c r="AL123" i="8"/>
  <c r="AH123" i="8"/>
  <c r="AM123" i="8"/>
  <c r="AR123" i="8"/>
  <c r="AR164" i="8"/>
  <c r="AR167" i="8"/>
  <c r="AR116" i="8"/>
  <c r="AR125" i="8"/>
  <c r="AJ123" i="8"/>
  <c r="AF123" i="8"/>
  <c r="AS123" i="8"/>
  <c r="AS116" i="8"/>
  <c r="AS125" i="8"/>
  <c r="AO123" i="8"/>
  <c r="AK123" i="8"/>
  <c r="AG123" i="8"/>
  <c r="AM125" i="8"/>
  <c r="AJ125" i="8"/>
  <c r="AQ125" i="8"/>
  <c r="AI125" i="8"/>
  <c r="AT125" i="8"/>
  <c r="AP125" i="8"/>
  <c r="AL125" i="8"/>
  <c r="AF125" i="8"/>
  <c r="AG125" i="8"/>
  <c r="AG164" i="8"/>
  <c r="AH125" i="8"/>
  <c r="AU125" i="8"/>
  <c r="AK125" i="8"/>
  <c r="AO125" i="8"/>
  <c r="AO116" i="8"/>
  <c r="AO164" i="8"/>
  <c r="AO167" i="8"/>
  <c r="AF116" i="8"/>
  <c r="AF164" i="8"/>
  <c r="AH116" i="8"/>
  <c r="AH164" i="8"/>
  <c r="AJ116" i="8"/>
  <c r="AL116" i="8"/>
  <c r="AP116" i="8"/>
  <c r="AP164" i="8"/>
  <c r="AP167" i="8"/>
  <c r="AT116" i="8"/>
  <c r="AG116" i="8"/>
  <c r="AI116" i="8"/>
  <c r="AI164" i="8"/>
  <c r="AK116" i="8"/>
  <c r="AM116" i="8"/>
  <c r="AQ116" i="8"/>
  <c r="AQ164" i="8"/>
  <c r="AQ167" i="8"/>
  <c r="AT164" i="8"/>
  <c r="AT167" i="8"/>
  <c r="AL164" i="8"/>
  <c r="AM164" i="8"/>
  <c r="AU120" i="8"/>
  <c r="AU117" i="8"/>
  <c r="AU8" i="8"/>
  <c r="AT9" i="8"/>
  <c r="AU123" i="8"/>
  <c r="AU124" i="8"/>
  <c r="AU122" i="8"/>
  <c r="AT10" i="8"/>
  <c r="AU10" i="8"/>
  <c r="AU9" i="8"/>
  <c r="AT11" i="8"/>
  <c r="AT12" i="8"/>
  <c r="AU11" i="8"/>
  <c r="AU12" i="8"/>
  <c r="AT13" i="8"/>
  <c r="AU13" i="8"/>
  <c r="AB4" i="8"/>
  <c r="AB5" i="8"/>
  <c r="AB6" i="8"/>
  <c r="AB7" i="8"/>
  <c r="AB8" i="8"/>
  <c r="AB9" i="8"/>
  <c r="AB10" i="8"/>
  <c r="AB11" i="8"/>
  <c r="AB12" i="8"/>
  <c r="AB13" i="8"/>
  <c r="AB14" i="8"/>
  <c r="AB15" i="8"/>
  <c r="Y15" i="8"/>
  <c r="Y14" i="8"/>
  <c r="Y13" i="8"/>
  <c r="Y12" i="8"/>
  <c r="Y11" i="8"/>
  <c r="V120" i="8"/>
  <c r="Y10" i="8"/>
  <c r="R164" i="8"/>
  <c r="V118" i="8"/>
  <c r="AU119" i="8"/>
  <c r="Y9" i="8"/>
  <c r="AK164" i="8"/>
  <c r="Y8" i="8"/>
  <c r="Y7" i="8"/>
  <c r="AU116" i="8"/>
  <c r="Y6" i="8"/>
  <c r="AJ164" i="8"/>
  <c r="AU164" i="8"/>
  <c r="AU114" i="8"/>
  <c r="AU115" i="8"/>
  <c r="Y5" i="8"/>
  <c r="Y4" i="8"/>
  <c r="AU80" i="8"/>
  <c r="L82" i="8"/>
  <c r="K104" i="8"/>
  <c r="AN166" i="8"/>
  <c r="AN167" i="8"/>
  <c r="J104" i="8"/>
  <c r="AM166" i="8"/>
  <c r="AM167" i="8"/>
  <c r="I104" i="8"/>
  <c r="AL166" i="8"/>
  <c r="AL167" i="8"/>
  <c r="AK166" i="8"/>
  <c r="AK167" i="8"/>
  <c r="H104" i="8"/>
  <c r="AJ166" i="8"/>
  <c r="F104" i="8"/>
  <c r="AI166" i="8"/>
  <c r="AI167" i="8"/>
  <c r="AH166" i="8"/>
  <c r="AH167" i="8"/>
  <c r="E104" i="8"/>
  <c r="W81" i="8"/>
  <c r="V80" i="8"/>
  <c r="D104" i="8"/>
  <c r="AG166" i="8"/>
  <c r="AG167" i="8"/>
  <c r="C104" i="8"/>
  <c r="AF166" i="8"/>
  <c r="AF167" i="8"/>
  <c r="L25" i="5"/>
  <c r="L23" i="5"/>
  <c r="J19" i="5"/>
  <c r="J23" i="5"/>
  <c r="AJ167" i="8"/>
  <c r="Q55" i="8"/>
  <c r="K24" i="5"/>
  <c r="J20" i="5"/>
  <c r="J26" i="5"/>
  <c r="J27" i="5"/>
  <c r="V14" i="8"/>
  <c r="BR14" i="8"/>
  <c r="BP10" i="8"/>
  <c r="BP15" i="8"/>
  <c r="V5" i="8"/>
  <c r="BR5" i="8"/>
  <c r="BP5" i="8"/>
  <c r="BP6" i="8"/>
  <c r="BP8" i="8"/>
  <c r="BP11" i="8"/>
  <c r="V13" i="8"/>
  <c r="BR13" i="8"/>
  <c r="BP7" i="8"/>
  <c r="BP9" i="8"/>
  <c r="V7" i="8"/>
  <c r="I59" i="8"/>
  <c r="BR7" i="8"/>
  <c r="V9" i="8"/>
  <c r="BR9" i="8"/>
  <c r="V12" i="8"/>
  <c r="BR12" i="8"/>
  <c r="BP14" i="8"/>
  <c r="V4" i="8"/>
  <c r="BR4" i="8"/>
  <c r="V6" i="8"/>
  <c r="BR6" i="8"/>
  <c r="BP4" i="8"/>
  <c r="V8" i="8"/>
  <c r="BR8" i="8"/>
  <c r="BP13" i="8"/>
  <c r="V10" i="8"/>
  <c r="BR10" i="8"/>
  <c r="V11" i="8"/>
  <c r="BR11" i="8"/>
  <c r="V15" i="8"/>
  <c r="BR15" i="8"/>
  <c r="BP12" i="8"/>
  <c r="BP54" i="8"/>
  <c r="M58" i="8"/>
  <c r="I58" i="8"/>
  <c r="BR54" i="8"/>
  <c r="N5" i="12"/>
  <c r="N5" i="13"/>
  <c r="N5" i="14"/>
  <c r="AU167" i="8"/>
  <c r="AT14" i="8"/>
  <c r="AJ8" i="8"/>
  <c r="AI9" i="8"/>
  <c r="E18" i="13"/>
  <c r="H18" i="13"/>
  <c r="L18" i="13"/>
  <c r="M18" i="13"/>
  <c r="B18" i="13"/>
  <c r="D18" i="13"/>
  <c r="F18" i="13"/>
  <c r="I18" i="13"/>
  <c r="C18" i="13"/>
  <c r="J18" i="13"/>
  <c r="G18" i="13"/>
  <c r="K18" i="13"/>
  <c r="C18" i="14"/>
  <c r="H18" i="14"/>
  <c r="L18" i="14"/>
  <c r="M18" i="14"/>
  <c r="I18" i="14"/>
  <c r="E18" i="14"/>
  <c r="J18" i="14"/>
  <c r="B18" i="14"/>
  <c r="D18" i="14"/>
  <c r="F18" i="14"/>
  <c r="G18" i="14"/>
  <c r="K18" i="14"/>
  <c r="G13" i="13"/>
  <c r="M13" i="13"/>
  <c r="D14" i="12"/>
  <c r="G14" i="12"/>
  <c r="J14" i="12"/>
  <c r="M14" i="12"/>
  <c r="E107" i="5"/>
  <c r="F107" i="5"/>
  <c r="M23" i="13"/>
  <c r="G23" i="13"/>
  <c r="M23" i="14"/>
  <c r="G23" i="14"/>
  <c r="G97" i="5"/>
  <c r="D12" i="12"/>
  <c r="M12" i="12"/>
  <c r="G12" i="12"/>
  <c r="J12" i="12"/>
  <c r="C92" i="8"/>
  <c r="C96" i="8"/>
  <c r="C100" i="8"/>
  <c r="D91" i="8"/>
  <c r="D95" i="8"/>
  <c r="D99" i="8"/>
  <c r="D103" i="8"/>
  <c r="E90" i="8"/>
  <c r="E94" i="8"/>
  <c r="E98" i="8"/>
  <c r="E102" i="8"/>
  <c r="F89" i="8"/>
  <c r="F93" i="8"/>
  <c r="F97" i="8"/>
  <c r="F101" i="8"/>
  <c r="G92" i="8"/>
  <c r="G96" i="8"/>
  <c r="G100" i="8"/>
  <c r="H91" i="8"/>
  <c r="H95" i="8"/>
  <c r="H99" i="8"/>
  <c r="H103" i="8"/>
  <c r="I90" i="8"/>
  <c r="I94" i="8"/>
  <c r="I98" i="8"/>
  <c r="I102" i="8"/>
  <c r="J89" i="8"/>
  <c r="J93" i="8"/>
  <c r="J97" i="8"/>
  <c r="J101" i="8"/>
  <c r="K92" i="8"/>
  <c r="K96" i="8"/>
  <c r="K100" i="8"/>
  <c r="L91" i="8"/>
  <c r="L95" i="8"/>
  <c r="L99" i="8"/>
  <c r="L103" i="8"/>
  <c r="M90" i="8"/>
  <c r="M94" i="8"/>
  <c r="M98" i="8"/>
  <c r="M102" i="8"/>
  <c r="N89" i="8"/>
  <c r="N93" i="8"/>
  <c r="N97" i="8"/>
  <c r="N101" i="8"/>
  <c r="O92" i="8"/>
  <c r="O96" i="8"/>
  <c r="O100" i="8"/>
  <c r="P91" i="8"/>
  <c r="P95" i="8"/>
  <c r="P99" i="8"/>
  <c r="P103" i="8"/>
  <c r="Q90" i="8"/>
  <c r="Q94" i="8"/>
  <c r="Q98" i="8"/>
  <c r="Q102" i="8"/>
  <c r="C89" i="8"/>
  <c r="C93" i="8"/>
  <c r="C97" i="8"/>
  <c r="C101" i="8"/>
  <c r="D92" i="8"/>
  <c r="D96" i="8"/>
  <c r="D100" i="8"/>
  <c r="E91" i="8"/>
  <c r="E95" i="8"/>
  <c r="E99" i="8"/>
  <c r="E103" i="8"/>
  <c r="F90" i="8"/>
  <c r="F94" i="8"/>
  <c r="F98" i="8"/>
  <c r="F102" i="8"/>
  <c r="G89" i="8"/>
  <c r="G93" i="8"/>
  <c r="G97" i="8"/>
  <c r="G101" i="8"/>
  <c r="H92" i="8"/>
  <c r="H96" i="8"/>
  <c r="H100" i="8"/>
  <c r="I91" i="8"/>
  <c r="I95" i="8"/>
  <c r="I99" i="8"/>
  <c r="I103" i="8"/>
  <c r="J90" i="8"/>
  <c r="J94" i="8"/>
  <c r="J98" i="8"/>
  <c r="J102" i="8"/>
  <c r="K89" i="8"/>
  <c r="K93" i="8"/>
  <c r="K97" i="8"/>
  <c r="K101" i="8"/>
  <c r="L92" i="8"/>
  <c r="L96" i="8"/>
  <c r="L100" i="8"/>
  <c r="M91" i="8"/>
  <c r="M95" i="8"/>
  <c r="M99" i="8"/>
  <c r="M103" i="8"/>
  <c r="N90" i="8"/>
  <c r="N94" i="8"/>
  <c r="N98" i="8"/>
  <c r="N102" i="8"/>
  <c r="O89" i="8"/>
  <c r="O93" i="8"/>
  <c r="O97" i="8"/>
  <c r="O101" i="8"/>
  <c r="P92" i="8"/>
  <c r="P96" i="8"/>
  <c r="P100" i="8"/>
  <c r="Q91" i="8"/>
  <c r="Q95" i="8"/>
  <c r="Q99" i="8"/>
  <c r="Q103" i="8"/>
  <c r="C90" i="8"/>
  <c r="C94" i="8"/>
  <c r="C98" i="8"/>
  <c r="C102" i="8"/>
  <c r="D89" i="8"/>
  <c r="D93" i="8"/>
  <c r="D97" i="8"/>
  <c r="D101" i="8"/>
  <c r="E92" i="8"/>
  <c r="E96" i="8"/>
  <c r="E100" i="8"/>
  <c r="F91" i="8"/>
  <c r="F95" i="8"/>
  <c r="F99" i="8"/>
  <c r="F103" i="8"/>
  <c r="G90" i="8"/>
  <c r="G94" i="8"/>
  <c r="G98" i="8"/>
  <c r="G102" i="8"/>
  <c r="H89" i="8"/>
  <c r="H93" i="8"/>
  <c r="H97" i="8"/>
  <c r="H101" i="8"/>
  <c r="I92" i="8"/>
  <c r="I96" i="8"/>
  <c r="I100" i="8"/>
  <c r="J91" i="8"/>
  <c r="J95" i="8"/>
  <c r="J99" i="8"/>
  <c r="J103" i="8"/>
  <c r="K90" i="8"/>
  <c r="K94" i="8"/>
  <c r="K98" i="8"/>
  <c r="K102" i="8"/>
  <c r="L89" i="8"/>
  <c r="L93" i="8"/>
  <c r="L97" i="8"/>
  <c r="L101" i="8"/>
  <c r="M92" i="8"/>
  <c r="M96" i="8"/>
  <c r="M100" i="8"/>
  <c r="N91" i="8"/>
  <c r="N95" i="8"/>
  <c r="N99" i="8"/>
  <c r="N103" i="8"/>
  <c r="O90" i="8"/>
  <c r="O94" i="8"/>
  <c r="O98" i="8"/>
  <c r="O102" i="8"/>
  <c r="P89" i="8"/>
  <c r="P93" i="8"/>
  <c r="P97" i="8"/>
  <c r="P101" i="8"/>
  <c r="Q92" i="8"/>
  <c r="Q96" i="8"/>
  <c r="Q100" i="8"/>
  <c r="C91" i="8"/>
  <c r="C95" i="8"/>
  <c r="C99" i="8"/>
  <c r="C103" i="8"/>
  <c r="D90" i="8"/>
  <c r="D94" i="8"/>
  <c r="D98" i="8"/>
  <c r="D102" i="8"/>
  <c r="E89" i="8"/>
  <c r="E93" i="8"/>
  <c r="E97" i="8"/>
  <c r="E101" i="8"/>
  <c r="F92" i="8"/>
  <c r="F96" i="8"/>
  <c r="F100" i="8"/>
  <c r="G91" i="8"/>
  <c r="G95" i="8"/>
  <c r="G99" i="8"/>
  <c r="G103" i="8"/>
  <c r="H90" i="8"/>
  <c r="H94" i="8"/>
  <c r="H98" i="8"/>
  <c r="H102" i="8"/>
  <c r="I89" i="8"/>
  <c r="I93" i="8"/>
  <c r="I97" i="8"/>
  <c r="I101" i="8"/>
  <c r="J92" i="8"/>
  <c r="J96" i="8"/>
  <c r="J100" i="8"/>
  <c r="K91" i="8"/>
  <c r="K95" i="8"/>
  <c r="K99" i="8"/>
  <c r="K103" i="8"/>
  <c r="L90" i="8"/>
  <c r="L94" i="8"/>
  <c r="L98" i="8"/>
  <c r="L102" i="8"/>
  <c r="M89" i="8"/>
  <c r="M93" i="8"/>
  <c r="M97" i="8"/>
  <c r="M101" i="8"/>
  <c r="N92" i="8"/>
  <c r="N96" i="8"/>
  <c r="N100" i="8"/>
  <c r="O91" i="8"/>
  <c r="O95" i="8"/>
  <c r="O99" i="8"/>
  <c r="O103" i="8"/>
  <c r="P90" i="8"/>
  <c r="P94" i="8"/>
  <c r="P98" i="8"/>
  <c r="P102" i="8"/>
  <c r="Q89" i="8"/>
  <c r="Q93" i="8"/>
  <c r="Q97" i="8"/>
  <c r="Q101" i="8"/>
  <c r="M13" i="12"/>
  <c r="G13" i="12"/>
  <c r="E104" i="5"/>
  <c r="E25" i="4"/>
  <c r="E38" i="4"/>
  <c r="F104" i="5"/>
  <c r="B38" i="13"/>
  <c r="F38" i="13"/>
  <c r="I38" i="13"/>
  <c r="M38" i="13"/>
  <c r="C38" i="13"/>
  <c r="J38" i="13"/>
  <c r="D38" i="13"/>
  <c r="G38" i="13"/>
  <c r="K38" i="13"/>
  <c r="E38" i="13"/>
  <c r="H38" i="13"/>
  <c r="L38" i="13"/>
  <c r="D38" i="14"/>
  <c r="I38" i="14"/>
  <c r="E38" i="14"/>
  <c r="J38" i="14"/>
  <c r="B38" i="14"/>
  <c r="F38" i="14"/>
  <c r="G38" i="14"/>
  <c r="K38" i="14"/>
  <c r="M38" i="14"/>
  <c r="C38" i="14"/>
  <c r="H38" i="14"/>
  <c r="L38" i="14"/>
  <c r="G13" i="14"/>
  <c r="M13" i="14"/>
  <c r="E106" i="5"/>
  <c r="N37" i="12"/>
  <c r="M37" i="12"/>
  <c r="C38" i="12"/>
  <c r="F38" i="12"/>
  <c r="B38" i="12"/>
  <c r="D38" i="12"/>
  <c r="E13" i="4"/>
  <c r="M38" i="12"/>
  <c r="M18" i="12"/>
  <c r="I38" i="12"/>
  <c r="B28" i="12"/>
  <c r="D28" i="12"/>
  <c r="G28" i="12"/>
  <c r="E28" i="12"/>
  <c r="M54" i="6"/>
  <c r="R54" i="6"/>
  <c r="AB173" i="8"/>
  <c r="C18" i="12"/>
  <c r="D18" i="12"/>
  <c r="E18" i="12"/>
  <c r="G18" i="12"/>
  <c r="F19" i="5"/>
  <c r="C28" i="14"/>
  <c r="J22" i="13"/>
  <c r="C22" i="13"/>
  <c r="L38" i="12"/>
  <c r="K18" i="12"/>
  <c r="I28" i="12"/>
  <c r="G38" i="12"/>
  <c r="F18" i="12"/>
  <c r="M48" i="6"/>
  <c r="R48" i="6"/>
  <c r="F105" i="5"/>
  <c r="N36" i="13"/>
  <c r="E105" i="5"/>
  <c r="N36" i="12"/>
  <c r="AB177" i="8"/>
  <c r="L24" i="5"/>
  <c r="AU4" i="8"/>
  <c r="D23" i="12"/>
  <c r="G23" i="12"/>
  <c r="G19" i="5"/>
  <c r="N11" i="12"/>
  <c r="C19" i="14"/>
  <c r="I22" i="13"/>
  <c r="F22" i="13"/>
  <c r="D22" i="13"/>
  <c r="C29" i="13"/>
  <c r="L28" i="12"/>
  <c r="K38" i="12"/>
  <c r="J18" i="12"/>
  <c r="H18" i="12"/>
  <c r="B30" i="12"/>
  <c r="E30" i="12"/>
  <c r="C30" i="12"/>
  <c r="D30" i="12"/>
  <c r="G30" i="12"/>
  <c r="T50" i="6"/>
  <c r="T52" i="6"/>
  <c r="E59" i="15"/>
  <c r="E108" i="5"/>
  <c r="N39" i="12"/>
  <c r="M39" i="12"/>
  <c r="G105" i="5"/>
  <c r="N36" i="14"/>
  <c r="M22" i="13"/>
  <c r="L22" i="13"/>
  <c r="H22" i="13"/>
  <c r="G22" i="13"/>
  <c r="E22" i="13"/>
  <c r="M23" i="12"/>
  <c r="K28" i="12"/>
  <c r="J38" i="12"/>
  <c r="I18" i="12"/>
  <c r="H38" i="12"/>
  <c r="F28" i="12"/>
  <c r="E38" i="12"/>
  <c r="C28" i="12"/>
  <c r="B18" i="12"/>
  <c r="V45" i="7"/>
  <c r="P14" i="7"/>
  <c r="O2" i="7"/>
  <c r="U53" i="7"/>
  <c r="T53" i="7"/>
  <c r="V53" i="7"/>
  <c r="T49" i="7"/>
  <c r="U48" i="7"/>
  <c r="U45" i="7"/>
  <c r="U42" i="7"/>
  <c r="T41" i="7"/>
  <c r="U41" i="7"/>
  <c r="U33" i="7"/>
  <c r="U32" i="7"/>
  <c r="V32" i="7"/>
  <c r="T33" i="7"/>
  <c r="T29" i="7"/>
  <c r="V29" i="7"/>
  <c r="U29" i="7"/>
  <c r="T25" i="7"/>
  <c r="V25" i="7"/>
  <c r="U25" i="7"/>
  <c r="U21" i="7"/>
  <c r="T21" i="7"/>
  <c r="V21" i="7"/>
  <c r="C31" i="12"/>
  <c r="B29" i="12"/>
  <c r="M57" i="6"/>
  <c r="S59" i="6"/>
  <c r="M51" i="6"/>
  <c r="S53" i="6"/>
  <c r="M45" i="6"/>
  <c r="U16" i="7"/>
  <c r="U52" i="7"/>
  <c r="V52" i="7"/>
  <c r="U50" i="7"/>
  <c r="V50" i="7"/>
  <c r="U51" i="7"/>
  <c r="T24" i="7"/>
  <c r="U22" i="7"/>
  <c r="V22" i="7"/>
  <c r="U24" i="7"/>
  <c r="U49" i="7"/>
  <c r="V40" i="7"/>
  <c r="U37" i="7"/>
  <c r="T37" i="7"/>
  <c r="V37" i="7"/>
  <c r="U13" i="7"/>
  <c r="V13" i="7"/>
  <c r="U4" i="7"/>
  <c r="V16" i="7"/>
  <c r="T30" i="7"/>
  <c r="U30" i="7"/>
  <c r="U40" i="7"/>
  <c r="V42" i="7"/>
  <c r="V48" i="7"/>
  <c r="V47" i="7"/>
  <c r="T9" i="7"/>
  <c r="T38" i="7"/>
  <c r="V38" i="7"/>
  <c r="U38" i="7"/>
  <c r="U6" i="7"/>
  <c r="V6" i="7"/>
  <c r="T8" i="7"/>
  <c r="U8" i="7"/>
  <c r="V51" i="7"/>
  <c r="T46" i="7"/>
  <c r="V46" i="7"/>
  <c r="U46" i="7"/>
  <c r="T36" i="7"/>
  <c r="V36" i="7"/>
  <c r="U34" i="7"/>
  <c r="V34" i="7"/>
  <c r="U36" i="7"/>
  <c r="T18" i="7"/>
  <c r="V18" i="7"/>
  <c r="U17" i="7"/>
  <c r="V17" i="7"/>
  <c r="U18" i="7"/>
  <c r="U20" i="7"/>
  <c r="U44" i="7"/>
  <c r="V44" i="7"/>
  <c r="U28" i="7"/>
  <c r="V28" i="7"/>
  <c r="U12" i="7"/>
  <c r="V4" i="7"/>
  <c r="V20" i="7"/>
  <c r="U5" i="7"/>
  <c r="V5" i="7"/>
  <c r="V26" i="7"/>
  <c r="U47" i="7"/>
  <c r="U43" i="7"/>
  <c r="U39" i="7"/>
  <c r="T39" i="7"/>
  <c r="V39" i="7"/>
  <c r="U35" i="7"/>
  <c r="V35" i="7"/>
  <c r="U31" i="7"/>
  <c r="U27" i="7"/>
  <c r="V27" i="7"/>
  <c r="U23" i="7"/>
  <c r="T23" i="7"/>
  <c r="U19" i="7"/>
  <c r="U15" i="7"/>
  <c r="V15" i="7"/>
  <c r="U11" i="7"/>
  <c r="V11" i="7"/>
  <c r="T43" i="7"/>
  <c r="V43" i="7"/>
  <c r="T31" i="7"/>
  <c r="V31" i="7"/>
  <c r="U26" i="7"/>
  <c r="T19" i="7"/>
  <c r="V19" i="7"/>
  <c r="T12" i="7"/>
  <c r="U7" i="7"/>
  <c r="V7" i="7"/>
  <c r="W1" i="6"/>
  <c r="AO6" i="7"/>
  <c r="V12" i="7"/>
  <c r="V30" i="7"/>
  <c r="AP17" i="7"/>
  <c r="U45" i="6"/>
  <c r="M47" i="6"/>
  <c r="V45" i="6"/>
  <c r="AP12" i="7"/>
  <c r="AO17" i="7"/>
  <c r="F108" i="5"/>
  <c r="N39" i="13"/>
  <c r="M39" i="13"/>
  <c r="M36" i="12"/>
  <c r="S56" i="6"/>
  <c r="E105" i="8"/>
  <c r="D105" i="8"/>
  <c r="C105" i="8"/>
  <c r="AN16" i="7"/>
  <c r="AO15" i="7"/>
  <c r="V24" i="7"/>
  <c r="AO20" i="7"/>
  <c r="G11" i="12"/>
  <c r="H11" i="12"/>
  <c r="B11" i="12"/>
  <c r="C11" i="12"/>
  <c r="E11" i="12"/>
  <c r="F11" i="12"/>
  <c r="D11" i="12"/>
  <c r="L11" i="12"/>
  <c r="I11" i="12"/>
  <c r="J11" i="12"/>
  <c r="K11" i="12"/>
  <c r="M11" i="12"/>
  <c r="M36" i="13"/>
  <c r="M56" i="6"/>
  <c r="V48" i="6"/>
  <c r="U48" i="6"/>
  <c r="I105" i="8"/>
  <c r="H105" i="8"/>
  <c r="G105" i="8"/>
  <c r="F105" i="8"/>
  <c r="AO13" i="7"/>
  <c r="M53" i="6"/>
  <c r="V47" i="6"/>
  <c r="U47" i="6"/>
  <c r="D1" i="5"/>
  <c r="D26" i="3"/>
  <c r="Z1" i="6"/>
  <c r="D1" i="6"/>
  <c r="C1" i="5"/>
  <c r="J28" i="6"/>
  <c r="I20" i="6"/>
  <c r="AI1" i="8"/>
  <c r="M59" i="8"/>
  <c r="P29" i="6"/>
  <c r="V23" i="7"/>
  <c r="V8" i="7"/>
  <c r="AO11" i="7"/>
  <c r="AO22" i="7"/>
  <c r="AP21" i="7"/>
  <c r="AN13" i="7"/>
  <c r="AO4" i="7"/>
  <c r="AO26" i="7"/>
  <c r="AM25" i="7"/>
  <c r="AN39" i="7"/>
  <c r="AQ45" i="7"/>
  <c r="AO31" i="7"/>
  <c r="AM36" i="7"/>
  <c r="AN40" i="7"/>
  <c r="AQ46" i="7"/>
  <c r="AO32" i="7"/>
  <c r="AM37" i="7"/>
  <c r="AM19" i="7"/>
  <c r="AM10" i="7"/>
  <c r="AO25" i="7"/>
  <c r="AN49" i="7"/>
  <c r="AP32" i="7"/>
  <c r="AO41" i="7"/>
  <c r="AM46" i="7"/>
  <c r="AN50" i="7"/>
  <c r="AP33" i="7"/>
  <c r="AO42" i="7"/>
  <c r="AM47" i="7"/>
  <c r="AQ30" i="7"/>
  <c r="AM18" i="7"/>
  <c r="AO53" i="7"/>
  <c r="AQ33" i="7"/>
  <c r="AP42" i="7"/>
  <c r="AO51" i="7"/>
  <c r="AM29" i="7"/>
  <c r="AQ34" i="7"/>
  <c r="AP43" i="7"/>
  <c r="AO52" i="7"/>
  <c r="AQ4" i="7"/>
  <c r="AM53" i="7"/>
  <c r="AM12" i="7"/>
  <c r="AP10" i="7"/>
  <c r="AO29" i="7"/>
  <c r="AP36" i="7"/>
  <c r="AO45" i="7"/>
  <c r="AM50" i="7"/>
  <c r="AP29" i="7"/>
  <c r="AP37" i="7"/>
  <c r="AO46" i="7"/>
  <c r="AM51" i="7"/>
  <c r="AQ21" i="7"/>
  <c r="AQ22" i="7"/>
  <c r="U49" i="6"/>
  <c r="M59" i="6"/>
  <c r="V49" i="6"/>
  <c r="V33" i="7"/>
  <c r="V41" i="7"/>
  <c r="V49" i="7"/>
  <c r="T14" i="7"/>
  <c r="U14" i="7"/>
  <c r="U10" i="7"/>
  <c r="V10" i="7"/>
  <c r="U9" i="7"/>
  <c r="V9" i="7"/>
  <c r="AO14" i="7"/>
  <c r="AQ14" i="7"/>
  <c r="AN14" i="7"/>
  <c r="R4" i="7"/>
  <c r="R50" i="7"/>
  <c r="R42" i="7"/>
  <c r="R28" i="7"/>
  <c r="R12" i="7"/>
  <c r="R43" i="7"/>
  <c r="R27" i="7"/>
  <c r="R13" i="7"/>
  <c r="R5" i="7"/>
  <c r="R25" i="7"/>
  <c r="R30" i="7"/>
  <c r="R14" i="7"/>
  <c r="R45" i="7"/>
  <c r="AM14" i="7"/>
  <c r="R1" i="7"/>
  <c r="R48" i="7"/>
  <c r="R40" i="7"/>
  <c r="R22" i="7"/>
  <c r="R6" i="7"/>
  <c r="R39" i="7"/>
  <c r="R23" i="7"/>
  <c r="R11" i="7"/>
  <c r="R49" i="7"/>
  <c r="R17" i="7"/>
  <c r="R26" i="7"/>
  <c r="R10" i="7"/>
  <c r="R37" i="7"/>
  <c r="R2" i="7"/>
  <c r="R46" i="7"/>
  <c r="R36" i="7"/>
  <c r="R20" i="7"/>
  <c r="R51" i="7"/>
  <c r="R35" i="7"/>
  <c r="R19" i="7"/>
  <c r="R9" i="7"/>
  <c r="R41" i="7"/>
  <c r="R38" i="7"/>
  <c r="R24" i="7"/>
  <c r="R8" i="7"/>
  <c r="R29" i="7"/>
  <c r="R52" i="7"/>
  <c r="R44" i="7"/>
  <c r="R32" i="7"/>
  <c r="R16" i="7"/>
  <c r="R47" i="7"/>
  <c r="R31" i="7"/>
  <c r="R15" i="7"/>
  <c r="R7" i="7"/>
  <c r="R33" i="7"/>
  <c r="R34" i="7"/>
  <c r="R18" i="7"/>
  <c r="R53" i="7"/>
  <c r="R21" i="7"/>
  <c r="AQ18" i="7"/>
  <c r="AQ13" i="7"/>
  <c r="AO24" i="7"/>
  <c r="S47" i="6"/>
  <c r="S60" i="6"/>
  <c r="N12" i="14"/>
  <c r="G20" i="5"/>
  <c r="L19" i="5"/>
  <c r="S50" i="6"/>
  <c r="N12" i="13"/>
  <c r="F20" i="5"/>
  <c r="F26" i="5"/>
  <c r="K19" i="5"/>
  <c r="E109" i="5"/>
  <c r="N40" i="12"/>
  <c r="M40" i="12"/>
  <c r="E37" i="4"/>
  <c r="M105" i="8"/>
  <c r="L105" i="8"/>
  <c r="K105" i="8"/>
  <c r="J105" i="8"/>
  <c r="AI10" i="8"/>
  <c r="AJ9" i="8"/>
  <c r="AT15" i="8"/>
  <c r="AU14" i="8"/>
  <c r="AN22" i="7"/>
  <c r="AN28" i="7"/>
  <c r="AQ23" i="7"/>
  <c r="AO12" i="7"/>
  <c r="AP13" i="7"/>
  <c r="AO21" i="7"/>
  <c r="AP5" i="7"/>
  <c r="AP22" i="7"/>
  <c r="AQ9" i="7"/>
  <c r="AQ11" i="7"/>
  <c r="AP6" i="7"/>
  <c r="M36" i="14"/>
  <c r="AO28" i="7"/>
  <c r="J177" i="8"/>
  <c r="W179" i="8"/>
  <c r="M50" i="6"/>
  <c r="V46" i="6"/>
  <c r="U46" i="6"/>
  <c r="J173" i="8"/>
  <c r="W174" i="8"/>
  <c r="F106" i="5"/>
  <c r="E110" i="5"/>
  <c r="E116" i="5"/>
  <c r="G104" i="5"/>
  <c r="Q105" i="8"/>
  <c r="P105" i="8"/>
  <c r="O105" i="8"/>
  <c r="N105" i="8"/>
  <c r="G107" i="5"/>
  <c r="F107" i="8"/>
  <c r="AF108" i="8"/>
  <c r="D107" i="8"/>
  <c r="AD108" i="8"/>
  <c r="V14" i="7"/>
  <c r="W14" i="7"/>
  <c r="AN5" i="7"/>
  <c r="AN17" i="7"/>
  <c r="AP23" i="7"/>
  <c r="AN24" i="7"/>
  <c r="AN23" i="7"/>
  <c r="AM43" i="7"/>
  <c r="AO38" i="7"/>
  <c r="AQ52" i="7"/>
  <c r="AN46" i="7"/>
  <c r="AM42" i="7"/>
  <c r="AO37" i="7"/>
  <c r="AQ51" i="7"/>
  <c r="AN45" i="7"/>
  <c r="AO8" i="7"/>
  <c r="AM6" i="7"/>
  <c r="AM7" i="7"/>
  <c r="AM49" i="7"/>
  <c r="AO44" i="7"/>
  <c r="AP35" i="7"/>
  <c r="AN52" i="7"/>
  <c r="AM48" i="7"/>
  <c r="AO43" i="7"/>
  <c r="AP34" i="7"/>
  <c r="AN51" i="7"/>
  <c r="AP8" i="7"/>
  <c r="AM11" i="7"/>
  <c r="AM15" i="7"/>
  <c r="AM39" i="7"/>
  <c r="AO34" i="7"/>
  <c r="AQ48" i="7"/>
  <c r="AN42" i="7"/>
  <c r="AM38" i="7"/>
  <c r="AO33" i="7"/>
  <c r="AQ47" i="7"/>
  <c r="AN41" i="7"/>
  <c r="AQ8" i="7"/>
  <c r="AN30" i="7"/>
  <c r="AM5" i="7"/>
  <c r="AM23" i="7"/>
  <c r="AP47" i="7"/>
  <c r="AQ38" i="7"/>
  <c r="AN32" i="7"/>
  <c r="AM22" i="7"/>
  <c r="AP46" i="7"/>
  <c r="AQ37" i="7"/>
  <c r="AN31" i="7"/>
  <c r="AM24" i="7"/>
  <c r="AQ10" i="7"/>
  <c r="AP28" i="7"/>
  <c r="AP24" i="7"/>
  <c r="AP16" i="7"/>
  <c r="AO23" i="7"/>
  <c r="AQ20" i="7"/>
  <c r="W4" i="7"/>
  <c r="D28" i="3"/>
  <c r="D31" i="3"/>
  <c r="E32" i="4"/>
  <c r="AN19" i="7"/>
  <c r="W20" i="7"/>
  <c r="G107" i="8"/>
  <c r="AG108" i="8"/>
  <c r="AQ5" i="7"/>
  <c r="AP18" i="7"/>
  <c r="W37" i="7"/>
  <c r="W36" i="7"/>
  <c r="AE108" i="8"/>
  <c r="E107" i="8"/>
  <c r="AQ12" i="7"/>
  <c r="V50" i="6"/>
  <c r="V52" i="6"/>
  <c r="F59" i="15"/>
  <c r="AO5" i="7"/>
  <c r="AN12" i="7"/>
  <c r="W43" i="7"/>
  <c r="W44" i="7"/>
  <c r="N37" i="13"/>
  <c r="G106" i="5"/>
  <c r="N37" i="14"/>
  <c r="L107" i="8"/>
  <c r="AL108" i="8"/>
  <c r="N14" i="13"/>
  <c r="K20" i="5"/>
  <c r="W8" i="7"/>
  <c r="W29" i="7"/>
  <c r="W18" i="7"/>
  <c r="Q107" i="8"/>
  <c r="AQ108" i="8"/>
  <c r="W25" i="7"/>
  <c r="W47" i="7"/>
  <c r="W11" i="7"/>
  <c r="AI11" i="8"/>
  <c r="AJ10" i="8"/>
  <c r="M107" i="8"/>
  <c r="AM108" i="8"/>
  <c r="F109" i="5"/>
  <c r="F27" i="5"/>
  <c r="N14" i="14"/>
  <c r="L20" i="5"/>
  <c r="L27" i="5"/>
  <c r="N11" i="14"/>
  <c r="N107" i="8"/>
  <c r="AN108" i="8"/>
  <c r="AP9" i="7"/>
  <c r="AQ17" i="7"/>
  <c r="W21" i="7"/>
  <c r="W50" i="7"/>
  <c r="W40" i="7"/>
  <c r="AN9" i="7"/>
  <c r="J107" i="8"/>
  <c r="AJ108" i="8"/>
  <c r="G12" i="13"/>
  <c r="J12" i="13"/>
  <c r="M12" i="13"/>
  <c r="D12" i="13"/>
  <c r="G27" i="5"/>
  <c r="AQ6" i="7"/>
  <c r="AP14" i="7"/>
  <c r="W49" i="7"/>
  <c r="AO9" i="7"/>
  <c r="AN7" i="7"/>
  <c r="AM35" i="7"/>
  <c r="AO27" i="7"/>
  <c r="AQ44" i="7"/>
  <c r="AN38" i="7"/>
  <c r="AM34" i="7"/>
  <c r="AP52" i="7"/>
  <c r="AQ43" i="7"/>
  <c r="AN37" i="7"/>
  <c r="AM30" i="7"/>
  <c r="AN10" i="7"/>
  <c r="AN8" i="7"/>
  <c r="AM41" i="7"/>
  <c r="AO36" i="7"/>
  <c r="AQ50" i="7"/>
  <c r="AN44" i="7"/>
  <c r="AM40" i="7"/>
  <c r="AO35" i="7"/>
  <c r="AQ49" i="7"/>
  <c r="AN43" i="7"/>
  <c r="AQ53" i="7"/>
  <c r="AN25" i="7"/>
  <c r="AM8" i="7"/>
  <c r="AM31" i="7"/>
  <c r="AP49" i="7"/>
  <c r="AQ40" i="7"/>
  <c r="AN34" i="7"/>
  <c r="AM27" i="7"/>
  <c r="AP48" i="7"/>
  <c r="AQ39" i="7"/>
  <c r="AN33" i="7"/>
  <c r="AM26" i="7"/>
  <c r="AO30" i="7"/>
  <c r="AP4" i="7"/>
  <c r="AO48" i="7"/>
  <c r="AP39" i="7"/>
  <c r="AQ27" i="7"/>
  <c r="AM52" i="7"/>
  <c r="AO47" i="7"/>
  <c r="AP38" i="7"/>
  <c r="AQ29" i="7"/>
  <c r="AP26" i="7"/>
  <c r="AM9" i="7"/>
  <c r="AM13" i="7"/>
  <c r="AQ28" i="7"/>
  <c r="AP20" i="7"/>
  <c r="AP11" i="7"/>
  <c r="AO18" i="7"/>
  <c r="AQ7" i="7"/>
  <c r="W23" i="7"/>
  <c r="W13" i="7"/>
  <c r="W19" i="7"/>
  <c r="AH108" i="8"/>
  <c r="H107" i="8"/>
  <c r="AQ15" i="7"/>
  <c r="W24" i="7"/>
  <c r="W16" i="7"/>
  <c r="W26" i="7"/>
  <c r="G108" i="5"/>
  <c r="N39" i="14"/>
  <c r="M39" i="14"/>
  <c r="AQ16" i="7"/>
  <c r="U50" i="6"/>
  <c r="U52" i="6"/>
  <c r="C59" i="15"/>
  <c r="AO7" i="7"/>
  <c r="W12" i="7"/>
  <c r="W28" i="7"/>
  <c r="W5" i="7"/>
  <c r="W34" i="7"/>
  <c r="AP108" i="8"/>
  <c r="P107" i="8"/>
  <c r="W33" i="7"/>
  <c r="AO108" i="8"/>
  <c r="O107" i="8"/>
  <c r="H38" i="6"/>
  <c r="L31" i="6"/>
  <c r="W45" i="7"/>
  <c r="W6" i="7"/>
  <c r="AT16" i="8"/>
  <c r="AU15" i="8"/>
  <c r="AK108" i="8"/>
  <c r="K107" i="8"/>
  <c r="N15" i="13"/>
  <c r="M15" i="13"/>
  <c r="K26" i="5"/>
  <c r="K27" i="5"/>
  <c r="N11" i="13"/>
  <c r="D12" i="14"/>
  <c r="G12" i="14"/>
  <c r="J12" i="14"/>
  <c r="M12" i="14"/>
  <c r="W10" i="7"/>
  <c r="W41" i="7"/>
  <c r="AO19" i="7"/>
  <c r="AN20" i="7"/>
  <c r="AM21" i="7"/>
  <c r="AP45" i="7"/>
  <c r="AQ36" i="7"/>
  <c r="AN27" i="7"/>
  <c r="AM16" i="7"/>
  <c r="AP44" i="7"/>
  <c r="AQ35" i="7"/>
  <c r="AN29" i="7"/>
  <c r="AM20" i="7"/>
  <c r="AQ25" i="7"/>
  <c r="AN4" i="7"/>
  <c r="AM33" i="7"/>
  <c r="AP51" i="7"/>
  <c r="AQ42" i="7"/>
  <c r="AN36" i="7"/>
  <c r="AM32" i="7"/>
  <c r="AP50" i="7"/>
  <c r="AQ41" i="7"/>
  <c r="AN35" i="7"/>
  <c r="AM28" i="7"/>
  <c r="AP25" i="7"/>
  <c r="AM4" i="7"/>
  <c r="AO50" i="7"/>
  <c r="AP41" i="7"/>
  <c r="AQ32" i="7"/>
  <c r="AP53" i="7"/>
  <c r="AO49" i="7"/>
  <c r="AP40" i="7"/>
  <c r="AQ31" i="7"/>
  <c r="AP30" i="7"/>
  <c r="AM17" i="7"/>
  <c r="AQ26" i="7"/>
  <c r="AM45" i="7"/>
  <c r="AO40" i="7"/>
  <c r="AP31" i="7"/>
  <c r="AN48" i="7"/>
  <c r="AM44" i="7"/>
  <c r="AO39" i="7"/>
  <c r="AP27" i="7"/>
  <c r="AN47" i="7"/>
  <c r="AO10" i="7"/>
  <c r="AN26" i="7"/>
  <c r="AN53" i="7"/>
  <c r="AN18" i="7"/>
  <c r="AN15" i="7"/>
  <c r="AP7" i="7"/>
  <c r="AO16" i="7"/>
  <c r="AN11" i="7"/>
  <c r="AN6" i="7"/>
  <c r="W38" i="7"/>
  <c r="W7" i="7"/>
  <c r="I107" i="8"/>
  <c r="AI108" i="8"/>
  <c r="AP19" i="7"/>
  <c r="AQ19" i="7"/>
  <c r="AQ24" i="7"/>
  <c r="W42" i="7"/>
  <c r="AC108" i="8"/>
  <c r="C107" i="8"/>
  <c r="R107" i="8"/>
  <c r="B7" i="16"/>
  <c r="B20" i="16"/>
  <c r="AP15" i="7"/>
  <c r="AN21" i="7"/>
  <c r="W22" i="7"/>
  <c r="W30" i="7"/>
  <c r="W51" i="7"/>
  <c r="W31" i="7"/>
  <c r="W27" i="7"/>
  <c r="W15" i="7"/>
  <c r="W32" i="7"/>
  <c r="AL95" i="8"/>
  <c r="AL99" i="8"/>
  <c r="AL103" i="8"/>
  <c r="AL92" i="8"/>
  <c r="AL96" i="8"/>
  <c r="AL100" i="8"/>
  <c r="AL89" i="8"/>
  <c r="AL93" i="8"/>
  <c r="AL97" i="8"/>
  <c r="AL101" i="8"/>
  <c r="AL90" i="8"/>
  <c r="AL94" i="8"/>
  <c r="AL98" i="8"/>
  <c r="AL102" i="8"/>
  <c r="AL91" i="8"/>
  <c r="AJ98" i="8"/>
  <c r="AJ89" i="8"/>
  <c r="AJ99" i="8"/>
  <c r="AJ92" i="8"/>
  <c r="AJ100" i="8"/>
  <c r="AJ93" i="8"/>
  <c r="AJ101" i="8"/>
  <c r="AJ94" i="8"/>
  <c r="AJ102" i="8"/>
  <c r="AJ95" i="8"/>
  <c r="AJ103" i="8"/>
  <c r="AJ96" i="8"/>
  <c r="AJ90" i="8"/>
  <c r="AJ97" i="8"/>
  <c r="AJ91" i="8"/>
  <c r="F11" i="14"/>
  <c r="K11" i="14"/>
  <c r="M11" i="14"/>
  <c r="B11" i="14"/>
  <c r="C11" i="14"/>
  <c r="H11" i="14"/>
  <c r="L11" i="14"/>
  <c r="D11" i="14"/>
  <c r="I11" i="14"/>
  <c r="E11" i="14"/>
  <c r="G11" i="14"/>
  <c r="J11" i="14"/>
  <c r="AI92" i="8"/>
  <c r="AI99" i="8"/>
  <c r="AI89" i="8"/>
  <c r="AI100" i="8"/>
  <c r="AI93" i="8"/>
  <c r="AI101" i="8"/>
  <c r="AI94" i="8"/>
  <c r="AI102" i="8"/>
  <c r="AI95" i="8"/>
  <c r="AI103" i="8"/>
  <c r="AI96" i="8"/>
  <c r="AI90" i="8"/>
  <c r="AI97" i="8"/>
  <c r="AI91" i="8"/>
  <c r="AI98" i="8"/>
  <c r="D11" i="13"/>
  <c r="K11" i="13"/>
  <c r="M11" i="13"/>
  <c r="E11" i="13"/>
  <c r="H11" i="13"/>
  <c r="L11" i="13"/>
  <c r="F11" i="13"/>
  <c r="I11" i="13"/>
  <c r="B11" i="13"/>
  <c r="C11" i="13"/>
  <c r="G11" i="13"/>
  <c r="J11" i="13"/>
  <c r="AQ90" i="8"/>
  <c r="AQ94" i="8"/>
  <c r="AQ98" i="8"/>
  <c r="AQ102" i="8"/>
  <c r="AQ91" i="8"/>
  <c r="AQ95" i="8"/>
  <c r="AQ99" i="8"/>
  <c r="AQ103" i="8"/>
  <c r="AQ92" i="8"/>
  <c r="AQ96" i="8"/>
  <c r="AQ100" i="8"/>
  <c r="AQ89" i="8"/>
  <c r="AQ93" i="8"/>
  <c r="AQ97" i="8"/>
  <c r="AQ101" i="8"/>
  <c r="AD92" i="8"/>
  <c r="AD100" i="8"/>
  <c r="AD93" i="8"/>
  <c r="AD101" i="8"/>
  <c r="AD94" i="8"/>
  <c r="AD102" i="8"/>
  <c r="AD95" i="8"/>
  <c r="AD103" i="8"/>
  <c r="AD96" i="8"/>
  <c r="AD90" i="8"/>
  <c r="AD97" i="8"/>
  <c r="AD91" i="8"/>
  <c r="AD98" i="8"/>
  <c r="AD89" i="8"/>
  <c r="AD99" i="8"/>
  <c r="AM90" i="8"/>
  <c r="AM95" i="8"/>
  <c r="AM99" i="8"/>
  <c r="AM103" i="8"/>
  <c r="AM91" i="8"/>
  <c r="AM96" i="8"/>
  <c r="AM100" i="8"/>
  <c r="AM89" i="8"/>
  <c r="AM93" i="8"/>
  <c r="AM97" i="8"/>
  <c r="AM101" i="8"/>
  <c r="AM92" i="8"/>
  <c r="AM94" i="8"/>
  <c r="AM98" i="8"/>
  <c r="AM102" i="8"/>
  <c r="AN94" i="8"/>
  <c r="AN98" i="8"/>
  <c r="AN102" i="8"/>
  <c r="AN90" i="8"/>
  <c r="AN95" i="8"/>
  <c r="AN99" i="8"/>
  <c r="AN103" i="8"/>
  <c r="AN91" i="8"/>
  <c r="AN96" i="8"/>
  <c r="AN100" i="8"/>
  <c r="AN89" i="8"/>
  <c r="AN93" i="8"/>
  <c r="AN97" i="8"/>
  <c r="AN101" i="8"/>
  <c r="AN92" i="8"/>
  <c r="AG96" i="8"/>
  <c r="AG99" i="8"/>
  <c r="AG103" i="8"/>
  <c r="AG91" i="8"/>
  <c r="AG93" i="8"/>
  <c r="AG101" i="8"/>
  <c r="AG94" i="8"/>
  <c r="AG100" i="8"/>
  <c r="AG102" i="8"/>
  <c r="AG89" i="8"/>
  <c r="AG98" i="8"/>
  <c r="AG90" i="8"/>
  <c r="AG92" i="8"/>
  <c r="AG95" i="8"/>
  <c r="AG97" i="8"/>
  <c r="AF96" i="8"/>
  <c r="AF90" i="8"/>
  <c r="AF97" i="8"/>
  <c r="AF91" i="8"/>
  <c r="AF98" i="8"/>
  <c r="AF89" i="8"/>
  <c r="AF99" i="8"/>
  <c r="AF92" i="8"/>
  <c r="AF100" i="8"/>
  <c r="AF93" i="8"/>
  <c r="AF101" i="8"/>
  <c r="AF94" i="8"/>
  <c r="AF102" i="8"/>
  <c r="AF95" i="8"/>
  <c r="AF103" i="8"/>
  <c r="AP95" i="8"/>
  <c r="AP99" i="8"/>
  <c r="AP103" i="8"/>
  <c r="AP91" i="8"/>
  <c r="AP96" i="8"/>
  <c r="AP100" i="8"/>
  <c r="AP89" i="8"/>
  <c r="AP93" i="8"/>
  <c r="AP97" i="8"/>
  <c r="AP101" i="8"/>
  <c r="AP92" i="8"/>
  <c r="AP94" i="8"/>
  <c r="AP98" i="8"/>
  <c r="AP102" i="8"/>
  <c r="AP90" i="8"/>
  <c r="G110" i="5"/>
  <c r="G116" i="5"/>
  <c r="N40" i="13"/>
  <c r="M40" i="13"/>
  <c r="G109" i="5"/>
  <c r="N40" i="14"/>
  <c r="M40" i="14"/>
  <c r="AI12" i="8"/>
  <c r="AJ11" i="8"/>
  <c r="W46" i="7"/>
  <c r="W35" i="7"/>
  <c r="W53" i="7"/>
  <c r="AU16" i="8"/>
  <c r="AT17" i="8"/>
  <c r="M37" i="14"/>
  <c r="F7" i="16"/>
  <c r="W52" i="7"/>
  <c r="W39" i="7"/>
  <c r="AC89" i="8"/>
  <c r="AC98" i="8"/>
  <c r="AC91" i="8"/>
  <c r="AC101" i="8"/>
  <c r="AC93" i="8"/>
  <c r="AC96" i="8"/>
  <c r="AC90" i="8"/>
  <c r="AC99" i="8"/>
  <c r="AC102" i="8"/>
  <c r="AC92" i="8"/>
  <c r="AC95" i="8"/>
  <c r="AC94" i="8"/>
  <c r="AC97" i="8"/>
  <c r="AC100" i="8"/>
  <c r="AC103" i="8"/>
  <c r="D20" i="16"/>
  <c r="F20" i="16"/>
  <c r="J14" i="14"/>
  <c r="D14" i="14"/>
  <c r="G14" i="14"/>
  <c r="M14" i="14"/>
  <c r="D14" i="13"/>
  <c r="J14" i="13"/>
  <c r="G14" i="13"/>
  <c r="M14" i="13"/>
  <c r="M37" i="13"/>
  <c r="D7" i="16"/>
  <c r="W17" i="7"/>
  <c r="W9" i="7"/>
  <c r="AB94" i="8"/>
  <c r="AB96" i="8"/>
  <c r="T107" i="8"/>
  <c r="Q2" i="8"/>
  <c r="Q170" i="8"/>
  <c r="C108" i="8"/>
  <c r="K108" i="8"/>
  <c r="F108" i="8"/>
  <c r="H108" i="8"/>
  <c r="I108" i="8"/>
  <c r="O108" i="8"/>
  <c r="P108" i="8"/>
  <c r="D108" i="8"/>
  <c r="E108" i="8"/>
  <c r="G108" i="8"/>
  <c r="J108" i="8"/>
  <c r="N108" i="8"/>
  <c r="Q108" i="8"/>
  <c r="L108" i="8"/>
  <c r="M108" i="8"/>
  <c r="J19" i="6"/>
  <c r="E21" i="6"/>
  <c r="AK89" i="8"/>
  <c r="AK100" i="8"/>
  <c r="AK93" i="8"/>
  <c r="AK101" i="8"/>
  <c r="AK94" i="8"/>
  <c r="AK102" i="8"/>
  <c r="AK95" i="8"/>
  <c r="AK103" i="8"/>
  <c r="AK96" i="8"/>
  <c r="AK90" i="8"/>
  <c r="AK97" i="8"/>
  <c r="AK91" i="8"/>
  <c r="AK98" i="8"/>
  <c r="AK92" i="8"/>
  <c r="AK99" i="8"/>
  <c r="AO90" i="8"/>
  <c r="AO94" i="8"/>
  <c r="AO98" i="8"/>
  <c r="AO102" i="8"/>
  <c r="AO91" i="8"/>
  <c r="AO95" i="8"/>
  <c r="AO99" i="8"/>
  <c r="AO103" i="8"/>
  <c r="AO92" i="8"/>
  <c r="AO96" i="8"/>
  <c r="AO100" i="8"/>
  <c r="AO89" i="8"/>
  <c r="AO93" i="8"/>
  <c r="AO97" i="8"/>
  <c r="AO101" i="8"/>
  <c r="AH99" i="8"/>
  <c r="AH100" i="8"/>
  <c r="AH98" i="8"/>
  <c r="AH97" i="8"/>
  <c r="AH103" i="8"/>
  <c r="AH90" i="8"/>
  <c r="AH94" i="8"/>
  <c r="AH93" i="8"/>
  <c r="AH92" i="8"/>
  <c r="AH89" i="8"/>
  <c r="AH91" i="8"/>
  <c r="AH95" i="8"/>
  <c r="AH96" i="8"/>
  <c r="AH102" i="8"/>
  <c r="AH101" i="8"/>
  <c r="AE97" i="8"/>
  <c r="AE91" i="8"/>
  <c r="AE98" i="8"/>
  <c r="AE92" i="8"/>
  <c r="AE99" i="8"/>
  <c r="AE89" i="8"/>
  <c r="AE100" i="8"/>
  <c r="AE93" i="8"/>
  <c r="AE101" i="8"/>
  <c r="AE94" i="8"/>
  <c r="AE102" i="8"/>
  <c r="AE95" i="8"/>
  <c r="AE103" i="8"/>
  <c r="AE96" i="8"/>
  <c r="AE90" i="8"/>
  <c r="W48" i="7"/>
  <c r="U1" i="7"/>
  <c r="J2" i="7"/>
  <c r="F110" i="5"/>
  <c r="F116" i="5"/>
  <c r="E38" i="6"/>
  <c r="K31" i="6"/>
  <c r="C38" i="6"/>
  <c r="J31" i="6"/>
  <c r="W1" i="7"/>
  <c r="AJ12" i="8"/>
  <c r="AI13" i="8"/>
  <c r="L25" i="6"/>
  <c r="J25" i="6"/>
  <c r="K25" i="6"/>
  <c r="J22" i="6"/>
  <c r="L22" i="6"/>
  <c r="K22" i="6"/>
  <c r="P19" i="6"/>
  <c r="D32" i="6"/>
  <c r="D31" i="6"/>
  <c r="AT18" i="8"/>
  <c r="AU17" i="8"/>
  <c r="S37" i="6"/>
  <c r="F31" i="6"/>
  <c r="E31" i="6"/>
  <c r="F32" i="6"/>
  <c r="K26" i="6"/>
  <c r="E54" i="15"/>
  <c r="X53" i="7"/>
  <c r="X49" i="7"/>
  <c r="X45" i="7"/>
  <c r="X41" i="7"/>
  <c r="X37" i="7"/>
  <c r="X33" i="7"/>
  <c r="X29" i="7"/>
  <c r="X25" i="7"/>
  <c r="X21" i="7"/>
  <c r="X17" i="7"/>
  <c r="X13" i="7"/>
  <c r="X9" i="7"/>
  <c r="X5" i="7"/>
  <c r="X52" i="7"/>
  <c r="X47" i="7"/>
  <c r="X42" i="7"/>
  <c r="X36" i="7"/>
  <c r="X31" i="7"/>
  <c r="X26" i="7"/>
  <c r="X20" i="7"/>
  <c r="X15" i="7"/>
  <c r="X10" i="7"/>
  <c r="X4" i="7"/>
  <c r="X50" i="7"/>
  <c r="X44" i="7"/>
  <c r="X39" i="7"/>
  <c r="X34" i="7"/>
  <c r="X28" i="7"/>
  <c r="X23" i="7"/>
  <c r="X18" i="7"/>
  <c r="X12" i="7"/>
  <c r="X7" i="7"/>
  <c r="X43" i="7"/>
  <c r="X32" i="7"/>
  <c r="X22" i="7"/>
  <c r="X11" i="7"/>
  <c r="X51" i="7"/>
  <c r="X40" i="7"/>
  <c r="X30" i="7"/>
  <c r="X19" i="7"/>
  <c r="X8" i="7"/>
  <c r="X48" i="7"/>
  <c r="X38" i="7"/>
  <c r="X27" i="7"/>
  <c r="X16" i="7"/>
  <c r="X6" i="7"/>
  <c r="X14" i="7"/>
  <c r="X46" i="7"/>
  <c r="X35" i="7"/>
  <c r="X24" i="7"/>
  <c r="AT19" i="8"/>
  <c r="AU18" i="8"/>
  <c r="L26" i="6"/>
  <c r="F54" i="15"/>
  <c r="AI14" i="8"/>
  <c r="AJ13" i="8"/>
  <c r="J24" i="6"/>
  <c r="D54" i="15"/>
  <c r="E19" i="6"/>
  <c r="J23" i="6"/>
  <c r="L24" i="6"/>
  <c r="K24" i="6"/>
  <c r="AI15" i="8"/>
  <c r="AJ14" i="8"/>
  <c r="AJ35" i="7"/>
  <c r="AK35" i="7"/>
  <c r="AJ16" i="7"/>
  <c r="AK16" i="7"/>
  <c r="AJ8" i="7"/>
  <c r="AK8" i="7"/>
  <c r="AJ51" i="7"/>
  <c r="AK51" i="7"/>
  <c r="AJ43" i="7"/>
  <c r="AK43" i="7"/>
  <c r="AJ23" i="7"/>
  <c r="AK23" i="7"/>
  <c r="AJ44" i="7"/>
  <c r="AK44" i="7"/>
  <c r="AJ15" i="7"/>
  <c r="AK15" i="7"/>
  <c r="AJ36" i="7"/>
  <c r="AK36" i="7"/>
  <c r="AJ5" i="7"/>
  <c r="AK5" i="7"/>
  <c r="AJ21" i="7"/>
  <c r="AK21" i="7"/>
  <c r="AJ37" i="7"/>
  <c r="AK37" i="7"/>
  <c r="AJ53" i="7"/>
  <c r="AK53" i="7"/>
  <c r="D56" i="15"/>
  <c r="L33" i="6"/>
  <c r="F57" i="15"/>
  <c r="K33" i="6"/>
  <c r="E57" i="15"/>
  <c r="AT20" i="8"/>
  <c r="AU19" i="8"/>
  <c r="AJ46" i="7"/>
  <c r="AK46" i="7"/>
  <c r="AJ27" i="7"/>
  <c r="AK27" i="7"/>
  <c r="AJ19" i="7"/>
  <c r="AK19" i="7"/>
  <c r="AK11" i="7"/>
  <c r="AJ11" i="7"/>
  <c r="AJ7" i="7"/>
  <c r="AK7" i="7"/>
  <c r="AJ28" i="7"/>
  <c r="AK28" i="7"/>
  <c r="AJ50" i="7"/>
  <c r="AK50" i="7"/>
  <c r="AJ20" i="7"/>
  <c r="AK20" i="7"/>
  <c r="AJ42" i="7"/>
  <c r="AK42" i="7"/>
  <c r="AK9" i="7"/>
  <c r="AJ9" i="7"/>
  <c r="AJ25" i="7"/>
  <c r="AK25" i="7"/>
  <c r="AJ41" i="7"/>
  <c r="AK41" i="7"/>
  <c r="E22" i="6"/>
  <c r="D53" i="15"/>
  <c r="L23" i="6"/>
  <c r="F53" i="15"/>
  <c r="AJ14" i="7"/>
  <c r="AK14" i="7"/>
  <c r="AJ38" i="7"/>
  <c r="AK38" i="7"/>
  <c r="AJ30" i="7"/>
  <c r="AK30" i="7"/>
  <c r="AJ22" i="7"/>
  <c r="AK22" i="7"/>
  <c r="AJ12" i="7"/>
  <c r="AK12" i="7"/>
  <c r="AJ34" i="7"/>
  <c r="AK34" i="7"/>
  <c r="AJ4" i="7"/>
  <c r="Y9" i="7"/>
  <c r="Y11" i="7"/>
  <c r="Y13" i="7"/>
  <c r="Y15" i="7"/>
  <c r="Y17" i="7"/>
  <c r="Y10" i="7"/>
  <c r="Y8" i="7"/>
  <c r="Y7" i="7"/>
  <c r="Y14" i="7"/>
  <c r="Y6" i="7"/>
  <c r="Y18" i="7"/>
  <c r="Y5" i="7"/>
  <c r="Y16" i="7"/>
  <c r="Y4" i="7"/>
  <c r="Y12" i="7"/>
  <c r="Y24" i="7"/>
  <c r="Y32" i="7"/>
  <c r="Y40" i="7"/>
  <c r="Y48" i="7"/>
  <c r="Y21" i="7"/>
  <c r="Y29" i="7"/>
  <c r="Y37" i="7"/>
  <c r="Y45" i="7"/>
  <c r="Y53" i="7"/>
  <c r="AK4" i="7"/>
  <c r="Y26" i="7"/>
  <c r="Y34" i="7"/>
  <c r="Y42" i="7"/>
  <c r="Y50" i="7"/>
  <c r="Y23" i="7"/>
  <c r="Y31" i="7"/>
  <c r="Y39" i="7"/>
  <c r="Y47" i="7"/>
  <c r="Y20" i="7"/>
  <c r="Y28" i="7"/>
  <c r="Y36" i="7"/>
  <c r="Y44" i="7"/>
  <c r="Y52" i="7"/>
  <c r="Y25" i="7"/>
  <c r="Y33" i="7"/>
  <c r="Y41" i="7"/>
  <c r="Y49" i="7"/>
  <c r="Y22" i="7"/>
  <c r="Y30" i="7"/>
  <c r="Y38" i="7"/>
  <c r="Y46" i="7"/>
  <c r="Y19" i="7"/>
  <c r="Y27" i="7"/>
  <c r="Y35" i="7"/>
  <c r="Y43" i="7"/>
  <c r="Y51" i="7"/>
  <c r="AJ26" i="7"/>
  <c r="AK26" i="7"/>
  <c r="AJ47" i="7"/>
  <c r="AK47" i="7"/>
  <c r="AJ13" i="7"/>
  <c r="AK13" i="7"/>
  <c r="AJ29" i="7"/>
  <c r="AK29" i="7"/>
  <c r="AJ45" i="7"/>
  <c r="AK45" i="7"/>
  <c r="S19" i="6"/>
  <c r="S20" i="6"/>
  <c r="S21" i="6"/>
  <c r="AJ24" i="7"/>
  <c r="AK24" i="7"/>
  <c r="AK6" i="7"/>
  <c r="AJ6" i="7"/>
  <c r="AJ48" i="7"/>
  <c r="AK48" i="7"/>
  <c r="AJ40" i="7"/>
  <c r="AK40" i="7"/>
  <c r="AJ32" i="7"/>
  <c r="AK32" i="7"/>
  <c r="AJ18" i="7"/>
  <c r="AK18" i="7"/>
  <c r="AJ39" i="7"/>
  <c r="AK39" i="7"/>
  <c r="AJ10" i="7"/>
  <c r="AK10" i="7"/>
  <c r="AJ31" i="7"/>
  <c r="AK31" i="7"/>
  <c r="AJ52" i="7"/>
  <c r="AK52" i="7"/>
  <c r="AJ17" i="7"/>
  <c r="AK17" i="7"/>
  <c r="AJ33" i="7"/>
  <c r="AK33" i="7"/>
  <c r="AJ49" i="7"/>
  <c r="AK49" i="7"/>
  <c r="K23" i="6"/>
  <c r="E53" i="15"/>
  <c r="D57" i="15"/>
  <c r="E32" i="6"/>
  <c r="AA27" i="7"/>
  <c r="AA30" i="7"/>
  <c r="AA33" i="7"/>
  <c r="AA36" i="7"/>
  <c r="AA39" i="7"/>
  <c r="AA42" i="7"/>
  <c r="AA53" i="7"/>
  <c r="AA21" i="7"/>
  <c r="Z21" i="7"/>
  <c r="AA24" i="7"/>
  <c r="AA5" i="7"/>
  <c r="Z5" i="7"/>
  <c r="AA7" i="7"/>
  <c r="Z7" i="7"/>
  <c r="AA15" i="7"/>
  <c r="Z15" i="7"/>
  <c r="F56" i="15"/>
  <c r="E56" i="15"/>
  <c r="AA51" i="7"/>
  <c r="AA19" i="7"/>
  <c r="Z19" i="7"/>
  <c r="AA22" i="7"/>
  <c r="AA25" i="7"/>
  <c r="AA28" i="7"/>
  <c r="AA31" i="7"/>
  <c r="AA34" i="7"/>
  <c r="AA45" i="7"/>
  <c r="AA48" i="7"/>
  <c r="AA12" i="7"/>
  <c r="Z12" i="7"/>
  <c r="AA18" i="7"/>
  <c r="Z18" i="7"/>
  <c r="AA8" i="7"/>
  <c r="Z8" i="7"/>
  <c r="AA13" i="7"/>
  <c r="Z13" i="7"/>
  <c r="G19" i="6"/>
  <c r="AA43" i="7"/>
  <c r="AA46" i="7"/>
  <c r="AA49" i="7"/>
  <c r="AA52" i="7"/>
  <c r="AA20" i="7"/>
  <c r="Z20" i="7"/>
  <c r="AA23" i="7"/>
  <c r="AA26" i="7"/>
  <c r="AA37" i="7"/>
  <c r="AA40" i="7"/>
  <c r="AA4" i="7"/>
  <c r="Z4" i="7"/>
  <c r="AA6" i="7"/>
  <c r="Z6" i="7"/>
  <c r="AA10" i="7"/>
  <c r="Z10" i="7"/>
  <c r="AA11" i="7"/>
  <c r="Z11" i="7"/>
  <c r="T33" i="6"/>
  <c r="AA35" i="7"/>
  <c r="AA38" i="7"/>
  <c r="AA41" i="7"/>
  <c r="AA44" i="7"/>
  <c r="AA47" i="7"/>
  <c r="AA50" i="7"/>
  <c r="AA29" i="7"/>
  <c r="AA32" i="7"/>
  <c r="AA16" i="7"/>
  <c r="Z16" i="7"/>
  <c r="AA14" i="7"/>
  <c r="Z14" i="7"/>
  <c r="AA17" i="7"/>
  <c r="Z17" i="7"/>
  <c r="AA9" i="7"/>
  <c r="Z9" i="7"/>
  <c r="AU20" i="8"/>
  <c r="AT21" i="8"/>
  <c r="S33" i="6"/>
  <c r="AI16" i="8"/>
  <c r="AJ15" i="8"/>
  <c r="AB32" i="7"/>
  <c r="AD32" i="7"/>
  <c r="AI32" i="7"/>
  <c r="AC32" i="7"/>
  <c r="AG32" i="7"/>
  <c r="AH32" i="7"/>
  <c r="AH44" i="7"/>
  <c r="AB44" i="7"/>
  <c r="AD44" i="7"/>
  <c r="AI44" i="7"/>
  <c r="AC44" i="7"/>
  <c r="AE44" i="7"/>
  <c r="AF44" i="7"/>
  <c r="AG44" i="7"/>
  <c r="AD10" i="7"/>
  <c r="AB10" i="7"/>
  <c r="AI10" i="7"/>
  <c r="AG10" i="7"/>
  <c r="AH10" i="7"/>
  <c r="AC10" i="7"/>
  <c r="AE10" i="7"/>
  <c r="AF10" i="7"/>
  <c r="AD4" i="7"/>
  <c r="AI4" i="7"/>
  <c r="AB4" i="7"/>
  <c r="AG4" i="7"/>
  <c r="AH4" i="7"/>
  <c r="AC4" i="7"/>
  <c r="AD23" i="7"/>
  <c r="AH23" i="7"/>
  <c r="AC23" i="7"/>
  <c r="AE23" i="7"/>
  <c r="AF23" i="7"/>
  <c r="AB23" i="7"/>
  <c r="AI23" i="7"/>
  <c r="AG23" i="7"/>
  <c r="AB49" i="7"/>
  <c r="AI49" i="7"/>
  <c r="AG49" i="7"/>
  <c r="AD49" i="7"/>
  <c r="AH49" i="7"/>
  <c r="AC49" i="7"/>
  <c r="AD8" i="7"/>
  <c r="AG8" i="7"/>
  <c r="AB8" i="7"/>
  <c r="AI8" i="7"/>
  <c r="AH8" i="7"/>
  <c r="AC8" i="7"/>
  <c r="AE8" i="7"/>
  <c r="AF8" i="7"/>
  <c r="AG12" i="7"/>
  <c r="AB12" i="7"/>
  <c r="AD12" i="7"/>
  <c r="AI12" i="7"/>
  <c r="AH12" i="7"/>
  <c r="AC12" i="7"/>
  <c r="AE12" i="7"/>
  <c r="AF12" i="7"/>
  <c r="AB31" i="7"/>
  <c r="AI31" i="7"/>
  <c r="AG31" i="7"/>
  <c r="AD31" i="7"/>
  <c r="AH31" i="7"/>
  <c r="AC31" i="7"/>
  <c r="AE31" i="7"/>
  <c r="AF31" i="7"/>
  <c r="AD15" i="7"/>
  <c r="AH15" i="7"/>
  <c r="AB15" i="7"/>
  <c r="AG15" i="7"/>
  <c r="AI15" i="7"/>
  <c r="AC15" i="7"/>
  <c r="AB5" i="7"/>
  <c r="AI5" i="7"/>
  <c r="AH5" i="7"/>
  <c r="AD5" i="7"/>
  <c r="AG5" i="7"/>
  <c r="AC5" i="7"/>
  <c r="AE5" i="7"/>
  <c r="AF5" i="7"/>
  <c r="AI53" i="7"/>
  <c r="AD53" i="7"/>
  <c r="AB53" i="7"/>
  <c r="AC53" i="7"/>
  <c r="AE53" i="7"/>
  <c r="AF53" i="7"/>
  <c r="AG53" i="7"/>
  <c r="AH53" i="7"/>
  <c r="AI33" i="7"/>
  <c r="AD33" i="7"/>
  <c r="AB33" i="7"/>
  <c r="AC33" i="7"/>
  <c r="AG33" i="7"/>
  <c r="AH33" i="7"/>
  <c r="AD9" i="7"/>
  <c r="AB9" i="7"/>
  <c r="AG9" i="7"/>
  <c r="AH9" i="7"/>
  <c r="AI9" i="7"/>
  <c r="AC9" i="7"/>
  <c r="AD41" i="7"/>
  <c r="AH41" i="7"/>
  <c r="AC41" i="7"/>
  <c r="AE41" i="7"/>
  <c r="AF41" i="7"/>
  <c r="AB41" i="7"/>
  <c r="AI41" i="7"/>
  <c r="AG41" i="7"/>
  <c r="AB40" i="7"/>
  <c r="AD40" i="7"/>
  <c r="AI40" i="7"/>
  <c r="AC40" i="7"/>
  <c r="AG40" i="7"/>
  <c r="AH40" i="7"/>
  <c r="AG46" i="7"/>
  <c r="AD46" i="7"/>
  <c r="AH46" i="7"/>
  <c r="AC46" i="7"/>
  <c r="AE46" i="7"/>
  <c r="AF46" i="7"/>
  <c r="AB46" i="7"/>
  <c r="AI46" i="7"/>
  <c r="AB48" i="7"/>
  <c r="AD48" i="7"/>
  <c r="AI48" i="7"/>
  <c r="AC48" i="7"/>
  <c r="AG48" i="7"/>
  <c r="AH48" i="7"/>
  <c r="AH28" i="7"/>
  <c r="AB28" i="7"/>
  <c r="AD28" i="7"/>
  <c r="AI28" i="7"/>
  <c r="AC28" i="7"/>
  <c r="AE28" i="7"/>
  <c r="AF28" i="7"/>
  <c r="AG28" i="7"/>
  <c r="AI19" i="7"/>
  <c r="AG19" i="7"/>
  <c r="AD19" i="7"/>
  <c r="AH19" i="7"/>
  <c r="AC19" i="7"/>
  <c r="AB19" i="7"/>
  <c r="AB24" i="7"/>
  <c r="AD24" i="7"/>
  <c r="AI24" i="7"/>
  <c r="AC24" i="7"/>
  <c r="AE24" i="7"/>
  <c r="AF24" i="7"/>
  <c r="AG24" i="7"/>
  <c r="AH24" i="7"/>
  <c r="AB42" i="7"/>
  <c r="AH42" i="7"/>
  <c r="AG42" i="7"/>
  <c r="AD42" i="7"/>
  <c r="AC42" i="7"/>
  <c r="AI42" i="7"/>
  <c r="AG30" i="7"/>
  <c r="AD30" i="7"/>
  <c r="AH30" i="7"/>
  <c r="AC30" i="7"/>
  <c r="AE30" i="7"/>
  <c r="AF30" i="7"/>
  <c r="AB30" i="7"/>
  <c r="AI30" i="7"/>
  <c r="AC29" i="7"/>
  <c r="AB29" i="7"/>
  <c r="AI29" i="7"/>
  <c r="AG29" i="7"/>
  <c r="AD29" i="7"/>
  <c r="AH29" i="7"/>
  <c r="AT22" i="8"/>
  <c r="AU21" i="8"/>
  <c r="AB50" i="7"/>
  <c r="AH50" i="7"/>
  <c r="AG50" i="7"/>
  <c r="AD50" i="7"/>
  <c r="AC50" i="7"/>
  <c r="AI50" i="7"/>
  <c r="AC38" i="7"/>
  <c r="AB38" i="7"/>
  <c r="AI38" i="7"/>
  <c r="AG38" i="7"/>
  <c r="AD38" i="7"/>
  <c r="AH38" i="7"/>
  <c r="AD11" i="7"/>
  <c r="AB11" i="7"/>
  <c r="AH11" i="7"/>
  <c r="AG11" i="7"/>
  <c r="AI11" i="7"/>
  <c r="AC11" i="7"/>
  <c r="AE11" i="7"/>
  <c r="AF11" i="7"/>
  <c r="AB6" i="7"/>
  <c r="AI6" i="7"/>
  <c r="AG6" i="7"/>
  <c r="AD6" i="7"/>
  <c r="AH6" i="7"/>
  <c r="AC6" i="7"/>
  <c r="AI37" i="7"/>
  <c r="AD37" i="7"/>
  <c r="AB37" i="7"/>
  <c r="AC37" i="7"/>
  <c r="AG37" i="7"/>
  <c r="AH37" i="7"/>
  <c r="AB20" i="7"/>
  <c r="AH20" i="7"/>
  <c r="AG20" i="7"/>
  <c r="AD20" i="7"/>
  <c r="AC20" i="7"/>
  <c r="AI20" i="7"/>
  <c r="AB43" i="7"/>
  <c r="AC43" i="7"/>
  <c r="AE43" i="7"/>
  <c r="AF43" i="7"/>
  <c r="AD43" i="7"/>
  <c r="AG43" i="7"/>
  <c r="AH43" i="7"/>
  <c r="AI43" i="7"/>
  <c r="AD13" i="7"/>
  <c r="AB13" i="7"/>
  <c r="AG13" i="7"/>
  <c r="AH13" i="7"/>
  <c r="AI13" i="7"/>
  <c r="AC13" i="7"/>
  <c r="AB18" i="7"/>
  <c r="AI18" i="7"/>
  <c r="AD18" i="7"/>
  <c r="AH18" i="7"/>
  <c r="AG18" i="7"/>
  <c r="AC18" i="7"/>
  <c r="AE18" i="7"/>
  <c r="AF18" i="7"/>
  <c r="AI45" i="7"/>
  <c r="AD45" i="7"/>
  <c r="AB45" i="7"/>
  <c r="AC45" i="7"/>
  <c r="AE45" i="7"/>
  <c r="AF45" i="7"/>
  <c r="AG45" i="7"/>
  <c r="AH45" i="7"/>
  <c r="AB25" i="7"/>
  <c r="AI25" i="7"/>
  <c r="AG25" i="7"/>
  <c r="AD25" i="7"/>
  <c r="AH25" i="7"/>
  <c r="AC25" i="7"/>
  <c r="AE25" i="7"/>
  <c r="AF25" i="7"/>
  <c r="AD51" i="7"/>
  <c r="AH51" i="7"/>
  <c r="AI51" i="7"/>
  <c r="AG51" i="7"/>
  <c r="AB51" i="7"/>
  <c r="AC51" i="7"/>
  <c r="AB7" i="7"/>
  <c r="AD7" i="7"/>
  <c r="AG7" i="7"/>
  <c r="AI7" i="7"/>
  <c r="AH7" i="7"/>
  <c r="AC7" i="7"/>
  <c r="AE7" i="7"/>
  <c r="AF7" i="7"/>
  <c r="AD39" i="7"/>
  <c r="AH39" i="7"/>
  <c r="AC39" i="7"/>
  <c r="AE39" i="7"/>
  <c r="AF39" i="7"/>
  <c r="AB39" i="7"/>
  <c r="AI39" i="7"/>
  <c r="AG39" i="7"/>
  <c r="AB27" i="7"/>
  <c r="AC27" i="7"/>
  <c r="AE27" i="7"/>
  <c r="AF27" i="7"/>
  <c r="AH27" i="7"/>
  <c r="AI27" i="7"/>
  <c r="AD27" i="7"/>
  <c r="AG27" i="7"/>
  <c r="AD14" i="7"/>
  <c r="AB14" i="7"/>
  <c r="AI14" i="7"/>
  <c r="AG14" i="7"/>
  <c r="AH14" i="7"/>
  <c r="AC14" i="7"/>
  <c r="AJ16" i="8"/>
  <c r="AI17" i="8"/>
  <c r="AB17" i="7"/>
  <c r="AD17" i="7"/>
  <c r="AG17" i="7"/>
  <c r="AI17" i="7"/>
  <c r="AH17" i="7"/>
  <c r="AC17" i="7"/>
  <c r="AE17" i="7"/>
  <c r="AF17" i="7"/>
  <c r="AB16" i="7"/>
  <c r="AD16" i="7"/>
  <c r="AH16" i="7"/>
  <c r="AI16" i="7"/>
  <c r="AG16" i="7"/>
  <c r="AC16" i="7"/>
  <c r="AE16" i="7"/>
  <c r="AF16" i="7"/>
  <c r="AB47" i="7"/>
  <c r="AI47" i="7"/>
  <c r="AG47" i="7"/>
  <c r="AD47" i="7"/>
  <c r="AH47" i="7"/>
  <c r="AC47" i="7"/>
  <c r="AD35" i="7"/>
  <c r="AH35" i="7"/>
  <c r="AI35" i="7"/>
  <c r="AG35" i="7"/>
  <c r="AC35" i="7"/>
  <c r="AE35" i="7"/>
  <c r="AF35" i="7"/>
  <c r="AB35" i="7"/>
  <c r="AB26" i="7"/>
  <c r="AH26" i="7"/>
  <c r="AG26" i="7"/>
  <c r="AD26" i="7"/>
  <c r="AC26" i="7"/>
  <c r="AE26" i="7"/>
  <c r="AF26" i="7"/>
  <c r="AI26" i="7"/>
  <c r="AH52" i="7"/>
  <c r="AC52" i="7"/>
  <c r="AE52" i="7"/>
  <c r="AF52" i="7"/>
  <c r="AG52" i="7"/>
  <c r="AD52" i="7"/>
  <c r="AI52" i="7"/>
  <c r="AB52" i="7"/>
  <c r="AB34" i="7"/>
  <c r="AD34" i="7"/>
  <c r="AI34" i="7"/>
  <c r="AC34" i="7"/>
  <c r="AE34" i="7"/>
  <c r="AF34" i="7"/>
  <c r="AG34" i="7"/>
  <c r="AH34" i="7"/>
  <c r="AC22" i="7"/>
  <c r="AB22" i="7"/>
  <c r="AI22" i="7"/>
  <c r="AG22" i="7"/>
  <c r="AD22" i="7"/>
  <c r="AH22" i="7"/>
  <c r="AD21" i="7"/>
  <c r="AH21" i="7"/>
  <c r="AC21" i="7"/>
  <c r="AB21" i="7"/>
  <c r="AI21" i="7"/>
  <c r="AG21" i="7"/>
  <c r="AH36" i="7"/>
  <c r="AC36" i="7"/>
  <c r="AE36" i="7"/>
  <c r="AF36" i="7"/>
  <c r="AG36" i="7"/>
  <c r="AD36" i="7"/>
  <c r="AI36" i="7"/>
  <c r="AB36" i="7"/>
  <c r="AE20" i="7"/>
  <c r="AF20" i="7"/>
  <c r="AE48" i="7"/>
  <c r="AF48" i="7"/>
  <c r="AE40" i="7"/>
  <c r="AF40" i="7"/>
  <c r="AE9" i="7"/>
  <c r="AF9" i="7"/>
  <c r="AE33" i="7"/>
  <c r="AF33" i="7"/>
  <c r="AE15" i="7"/>
  <c r="AF15" i="7"/>
  <c r="AE49" i="7"/>
  <c r="AF49" i="7"/>
  <c r="AE4" i="7"/>
  <c r="AC54" i="7"/>
  <c r="E56" i="7"/>
  <c r="F58" i="7"/>
  <c r="AI54" i="7"/>
  <c r="E58" i="7"/>
  <c r="AE32" i="7"/>
  <c r="AF32" i="7"/>
  <c r="AI18" i="8"/>
  <c r="AJ17" i="8"/>
  <c r="AE38" i="7"/>
  <c r="AF38" i="7"/>
  <c r="AT23" i="8"/>
  <c r="AU22" i="8"/>
  <c r="AH54" i="7"/>
  <c r="AD54" i="7"/>
  <c r="AG54" i="7"/>
  <c r="AE21" i="7"/>
  <c r="AF21" i="7"/>
  <c r="AE22" i="7"/>
  <c r="AF22" i="7"/>
  <c r="AE47" i="7"/>
  <c r="AF47" i="7"/>
  <c r="AE14" i="7"/>
  <c r="AF14" i="7"/>
  <c r="AE51" i="7"/>
  <c r="AF51" i="7"/>
  <c r="AE13" i="7"/>
  <c r="AF13" i="7"/>
  <c r="AE37" i="7"/>
  <c r="AF37" i="7"/>
  <c r="AE6" i="7"/>
  <c r="AF6" i="7"/>
  <c r="AE50" i="7"/>
  <c r="AF50" i="7"/>
  <c r="AE29" i="7"/>
  <c r="AF29" i="7"/>
  <c r="AE42" i="7"/>
  <c r="AF42" i="7"/>
  <c r="AE19" i="7"/>
  <c r="AF19" i="7"/>
  <c r="AI19" i="8"/>
  <c r="AJ18" i="8"/>
  <c r="F56" i="7"/>
  <c r="E59" i="7"/>
  <c r="AD55" i="7"/>
  <c r="E57" i="7"/>
  <c r="AE54" i="7"/>
  <c r="AF4" i="7"/>
  <c r="AT24" i="8"/>
  <c r="AU23" i="8"/>
  <c r="AU24" i="8"/>
  <c r="AT25" i="8"/>
  <c r="AI20" i="8"/>
  <c r="AJ19" i="8"/>
  <c r="AT26" i="8"/>
  <c r="AU25" i="8"/>
  <c r="AJ20" i="8"/>
  <c r="AI21" i="8"/>
  <c r="AI22" i="8"/>
  <c r="AJ21" i="8"/>
  <c r="AT27" i="8"/>
  <c r="AU26" i="8"/>
  <c r="AT28" i="8"/>
  <c r="AU27" i="8"/>
  <c r="AI23" i="8"/>
  <c r="AJ22" i="8"/>
  <c r="AI24" i="8"/>
  <c r="AJ23" i="8"/>
  <c r="AU28" i="8"/>
  <c r="AT29" i="8"/>
  <c r="AT30" i="8"/>
  <c r="AU29" i="8"/>
  <c r="AJ24" i="8"/>
  <c r="AI25" i="8"/>
  <c r="AI26" i="8"/>
  <c r="AJ25" i="8"/>
  <c r="AT31" i="8"/>
  <c r="AU30" i="8"/>
  <c r="AT32" i="8"/>
  <c r="AU31" i="8"/>
  <c r="AI27" i="8"/>
  <c r="AJ26" i="8"/>
  <c r="AI28" i="8"/>
  <c r="AJ27" i="8"/>
  <c r="AU32" i="8"/>
  <c r="AT33" i="8"/>
  <c r="AT34" i="8"/>
  <c r="AU33" i="8"/>
  <c r="AJ28" i="8"/>
  <c r="AI29" i="8"/>
  <c r="AT35" i="8"/>
  <c r="AU34" i="8"/>
  <c r="AI30" i="8"/>
  <c r="AJ29" i="8"/>
  <c r="AI31" i="8"/>
  <c r="AJ30" i="8"/>
  <c r="AT36" i="8"/>
  <c r="AU35" i="8"/>
  <c r="AU36" i="8"/>
  <c r="AT37" i="8"/>
  <c r="AI32" i="8"/>
  <c r="AJ31" i="8"/>
  <c r="AJ32" i="8"/>
  <c r="AI33" i="8"/>
  <c r="AT38" i="8"/>
  <c r="AU37" i="8"/>
  <c r="AT39" i="8"/>
  <c r="AU38" i="8"/>
  <c r="AI34" i="8"/>
  <c r="AJ33" i="8"/>
  <c r="AI35" i="8"/>
  <c r="AJ34" i="8"/>
  <c r="AT40" i="8"/>
  <c r="AU39" i="8"/>
  <c r="AU40" i="8"/>
  <c r="AT41" i="8"/>
  <c r="AI36" i="8"/>
  <c r="AJ35" i="8"/>
  <c r="AJ36" i="8"/>
  <c r="AI37" i="8"/>
  <c r="AT42" i="8"/>
  <c r="AU41" i="8"/>
  <c r="AT43" i="8"/>
  <c r="AU42" i="8"/>
  <c r="AI38" i="8"/>
  <c r="AJ37" i="8"/>
  <c r="AI39" i="8"/>
  <c r="AJ38" i="8"/>
  <c r="AT44" i="8"/>
  <c r="AU43" i="8"/>
  <c r="AU44" i="8"/>
  <c r="AT45" i="8"/>
  <c r="AI40" i="8"/>
  <c r="AJ39" i="8"/>
  <c r="AJ40" i="8"/>
  <c r="AI41" i="8"/>
  <c r="AT46" i="8"/>
  <c r="AU45" i="8"/>
  <c r="AI42" i="8"/>
  <c r="AJ41" i="8"/>
  <c r="AT47" i="8"/>
  <c r="AU46" i="8"/>
  <c r="AT48" i="8"/>
  <c r="AU47" i="8"/>
  <c r="AI43" i="8"/>
  <c r="AJ42" i="8"/>
  <c r="AI44" i="8"/>
  <c r="AJ43" i="8"/>
  <c r="AU48" i="8"/>
  <c r="AT49" i="8"/>
  <c r="AT50" i="8"/>
  <c r="AU49" i="8"/>
  <c r="AJ44" i="8"/>
  <c r="AI45" i="8"/>
  <c r="AT51" i="8"/>
  <c r="AU50" i="8"/>
  <c r="AI46" i="8"/>
  <c r="AJ45" i="8"/>
  <c r="AI47" i="8"/>
  <c r="AJ46" i="8"/>
  <c r="AT52" i="8"/>
  <c r="AU51" i="8"/>
  <c r="AU52" i="8"/>
  <c r="AT53" i="8"/>
  <c r="AU53" i="8"/>
  <c r="AI48" i="8"/>
  <c r="AJ47" i="8"/>
  <c r="AJ48" i="8"/>
  <c r="AI49" i="8"/>
  <c r="AV4" i="8"/>
  <c r="AV45" i="8"/>
  <c r="AV25" i="8"/>
  <c r="AV36" i="8"/>
  <c r="AV26" i="8"/>
  <c r="AV53" i="8"/>
  <c r="AV22" i="8"/>
  <c r="AV50" i="8"/>
  <c r="AV24" i="8"/>
  <c r="AV49" i="8"/>
  <c r="AV52" i="8"/>
  <c r="AV40" i="8"/>
  <c r="AV47" i="8"/>
  <c r="AV14" i="8"/>
  <c r="AV27" i="8"/>
  <c r="AV32" i="8"/>
  <c r="AV43" i="8"/>
  <c r="AV10" i="8"/>
  <c r="AV31" i="8"/>
  <c r="AV39" i="8"/>
  <c r="AV11" i="8"/>
  <c r="AV8" i="8"/>
  <c r="AV20" i="8"/>
  <c r="AV5" i="8"/>
  <c r="AV21" i="8"/>
  <c r="AV33" i="8"/>
  <c r="AV41" i="8"/>
  <c r="AV34" i="8"/>
  <c r="AV35" i="8"/>
  <c r="AV13" i="8"/>
  <c r="AV6" i="8"/>
  <c r="AV30" i="8"/>
  <c r="AV7" i="8"/>
  <c r="AV16" i="8"/>
  <c r="AV42" i="8"/>
  <c r="AV46" i="8"/>
  <c r="AV9" i="8"/>
  <c r="AV15" i="8"/>
  <c r="AV23" i="8"/>
  <c r="AV48" i="8"/>
  <c r="AV18" i="8"/>
  <c r="AV17" i="8"/>
  <c r="AV28" i="8"/>
  <c r="AV38" i="8"/>
  <c r="AV37" i="8"/>
  <c r="AV51" i="8"/>
  <c r="AV44" i="8"/>
  <c r="AV19" i="8"/>
  <c r="AV12" i="8"/>
  <c r="AV29" i="8"/>
  <c r="AX29" i="8"/>
  <c r="AW29" i="8"/>
  <c r="AX15" i="8"/>
  <c r="AD75" i="8"/>
  <c r="AB75" i="8"/>
  <c r="AW15" i="8"/>
  <c r="AC75" i="8"/>
  <c r="AX13" i="8"/>
  <c r="AD73" i="8"/>
  <c r="AB73" i="8"/>
  <c r="AW13" i="8"/>
  <c r="AC73" i="8"/>
  <c r="AX33" i="8"/>
  <c r="AW33" i="8"/>
  <c r="AW8" i="8"/>
  <c r="AC68" i="8"/>
  <c r="AX8" i="8"/>
  <c r="AD68" i="8"/>
  <c r="AB68" i="8"/>
  <c r="AX10" i="8"/>
  <c r="AD70" i="8"/>
  <c r="AB70" i="8"/>
  <c r="AW10" i="8"/>
  <c r="AC70" i="8"/>
  <c r="AW14" i="8"/>
  <c r="AC74" i="8"/>
  <c r="AX14" i="8"/>
  <c r="AD74" i="8"/>
  <c r="AB74" i="8"/>
  <c r="AX49" i="8"/>
  <c r="AW49" i="8"/>
  <c r="AX53" i="8"/>
  <c r="AW53" i="8"/>
  <c r="AX45" i="8"/>
  <c r="AW45" i="8"/>
  <c r="AW44" i="8"/>
  <c r="AX44" i="8"/>
  <c r="AX51" i="8"/>
  <c r="AW51" i="8"/>
  <c r="AW16" i="8"/>
  <c r="AC76" i="8"/>
  <c r="AX16" i="8"/>
  <c r="AD76" i="8"/>
  <c r="AB76" i="8"/>
  <c r="AX37" i="8"/>
  <c r="AW37" i="8"/>
  <c r="AW18" i="8"/>
  <c r="AC78" i="8"/>
  <c r="AX18" i="8"/>
  <c r="AD78" i="8"/>
  <c r="AB78" i="8"/>
  <c r="AW9" i="8"/>
  <c r="AC69" i="8"/>
  <c r="AX9" i="8"/>
  <c r="AD69" i="8"/>
  <c r="AB69" i="8"/>
  <c r="AX7" i="8"/>
  <c r="AD67" i="8"/>
  <c r="AB67" i="8"/>
  <c r="AW7" i="8"/>
  <c r="AC67" i="8"/>
  <c r="AW35" i="8"/>
  <c r="AX35" i="8"/>
  <c r="AW21" i="8"/>
  <c r="AC81" i="8"/>
  <c r="AX21" i="8"/>
  <c r="AD81" i="8"/>
  <c r="AB81" i="8"/>
  <c r="AW11" i="8"/>
  <c r="AC71" i="8"/>
  <c r="AX11" i="8"/>
  <c r="AD71" i="8"/>
  <c r="AB71" i="8"/>
  <c r="AX43" i="8"/>
  <c r="AW43" i="8"/>
  <c r="AX47" i="8"/>
  <c r="AW47" i="8"/>
  <c r="AX24" i="8"/>
  <c r="AD84" i="8"/>
  <c r="AW24" i="8"/>
  <c r="AC84" i="8"/>
  <c r="AB84" i="8"/>
  <c r="AB86" i="8"/>
  <c r="AX26" i="8"/>
  <c r="AD86" i="8"/>
  <c r="AW26" i="8"/>
  <c r="AC86" i="8"/>
  <c r="AV2" i="8"/>
  <c r="AB64" i="8"/>
  <c r="AV1" i="8"/>
  <c r="AX4" i="8"/>
  <c r="AD64" i="8"/>
  <c r="AW4" i="8"/>
  <c r="AC64" i="8"/>
  <c r="AX28" i="8"/>
  <c r="AW28" i="8"/>
  <c r="AX17" i="8"/>
  <c r="AD77" i="8"/>
  <c r="AB77" i="8"/>
  <c r="AW17" i="8"/>
  <c r="AC77" i="8"/>
  <c r="AW12" i="8"/>
  <c r="AC72" i="8"/>
  <c r="AX12" i="8"/>
  <c r="AD72" i="8"/>
  <c r="AB72" i="8"/>
  <c r="AW19" i="8"/>
  <c r="AC79" i="8"/>
  <c r="AX19" i="8"/>
  <c r="AD79" i="8"/>
  <c r="AB79" i="8"/>
  <c r="AW38" i="8"/>
  <c r="AX38" i="8"/>
  <c r="AW48" i="8"/>
  <c r="AX48" i="8"/>
  <c r="AW46" i="8"/>
  <c r="AX46" i="8"/>
  <c r="AW30" i="8"/>
  <c r="AX30" i="8"/>
  <c r="AW34" i="8"/>
  <c r="AX34" i="8"/>
  <c r="AW5" i="8"/>
  <c r="AC65" i="8"/>
  <c r="AB65" i="8"/>
  <c r="AX5" i="8"/>
  <c r="AD65" i="8"/>
  <c r="AW39" i="8"/>
  <c r="AX39" i="8"/>
  <c r="AW32" i="8"/>
  <c r="AX32" i="8"/>
  <c r="AX40" i="8"/>
  <c r="AW40" i="8"/>
  <c r="AX50" i="8"/>
  <c r="AW50" i="8"/>
  <c r="AX36" i="8"/>
  <c r="AW36" i="8"/>
  <c r="AI50" i="8"/>
  <c r="AJ49" i="8"/>
  <c r="AW23" i="8"/>
  <c r="AC83" i="8"/>
  <c r="AX23" i="8"/>
  <c r="AD83" i="8"/>
  <c r="AB83" i="8"/>
  <c r="AX42" i="8"/>
  <c r="AW42" i="8"/>
  <c r="AX6" i="8"/>
  <c r="AD66" i="8"/>
  <c r="AB66" i="8"/>
  <c r="AW6" i="8"/>
  <c r="AC66" i="8"/>
  <c r="AX41" i="8"/>
  <c r="AW41" i="8"/>
  <c r="AW20" i="8"/>
  <c r="AC80" i="8"/>
  <c r="AB80" i="8"/>
  <c r="AX20" i="8"/>
  <c r="AD80" i="8"/>
  <c r="AW31" i="8"/>
  <c r="AX31" i="8"/>
  <c r="AB87" i="8"/>
  <c r="AX27" i="8"/>
  <c r="AW27" i="8"/>
  <c r="AX52" i="8"/>
  <c r="AW52" i="8"/>
  <c r="AW22" i="8"/>
  <c r="AC82" i="8"/>
  <c r="AB82" i="8"/>
  <c r="AX22" i="8"/>
  <c r="AD82" i="8"/>
  <c r="AW25" i="8"/>
  <c r="AC85" i="8"/>
  <c r="AX25" i="8"/>
  <c r="AD85" i="8"/>
  <c r="AB85" i="8"/>
  <c r="AG66" i="8"/>
  <c r="AK66" i="8"/>
  <c r="AI66" i="8"/>
  <c r="AH66" i="8"/>
  <c r="B47" i="6"/>
  <c r="AF66" i="8"/>
  <c r="AJ66" i="8"/>
  <c r="E47" i="6"/>
  <c r="AM66" i="8"/>
  <c r="AO66" i="8"/>
  <c r="AK79" i="8"/>
  <c r="AH79" i="8"/>
  <c r="AG79" i="8"/>
  <c r="AF79" i="8"/>
  <c r="AI79" i="8"/>
  <c r="AJ79" i="8"/>
  <c r="AM79" i="8"/>
  <c r="AO79" i="8"/>
  <c r="AI86" i="8"/>
  <c r="AK86" i="8"/>
  <c r="AH86" i="8"/>
  <c r="AG86" i="8"/>
  <c r="AF86" i="8"/>
  <c r="AJ86" i="8"/>
  <c r="AM86" i="8"/>
  <c r="AO86" i="8"/>
  <c r="AG84" i="8"/>
  <c r="AK84" i="8"/>
  <c r="AH84" i="8"/>
  <c r="AF84" i="8"/>
  <c r="AJ84" i="8"/>
  <c r="AI84" i="8"/>
  <c r="AM84" i="8"/>
  <c r="AO84" i="8"/>
  <c r="AG78" i="8"/>
  <c r="AH78" i="8"/>
  <c r="AF78" i="8"/>
  <c r="AK78" i="8"/>
  <c r="AJ78" i="8"/>
  <c r="E59" i="6"/>
  <c r="B59" i="6"/>
  <c r="AI78" i="8"/>
  <c r="AM78" i="8"/>
  <c r="AO78" i="8"/>
  <c r="AK68" i="8"/>
  <c r="AJ68" i="8"/>
  <c r="E49" i="6"/>
  <c r="B49" i="6"/>
  <c r="AI68" i="8"/>
  <c r="AG68" i="8"/>
  <c r="AH68" i="8"/>
  <c r="AF68" i="8"/>
  <c r="AM68" i="8"/>
  <c r="AK83" i="8"/>
  <c r="AG83" i="8"/>
  <c r="AI83" i="8"/>
  <c r="AF83" i="8"/>
  <c r="AH83" i="8"/>
  <c r="AJ83" i="8"/>
  <c r="AM83" i="8"/>
  <c r="AH85" i="8"/>
  <c r="AJ85" i="8"/>
  <c r="AK85" i="8"/>
  <c r="AG85" i="8"/>
  <c r="AI85" i="8"/>
  <c r="AF85" i="8"/>
  <c r="AM85" i="8"/>
  <c r="AO85" i="8"/>
  <c r="AF80" i="8"/>
  <c r="AI80" i="8"/>
  <c r="AK80" i="8"/>
  <c r="AH80" i="8"/>
  <c r="AJ80" i="8"/>
  <c r="AG80" i="8"/>
  <c r="AM80" i="8"/>
  <c r="AO80" i="8"/>
  <c r="AH81" i="8"/>
  <c r="AK81" i="8"/>
  <c r="AG81" i="8"/>
  <c r="AI81" i="8"/>
  <c r="AF81" i="8"/>
  <c r="AJ81" i="8"/>
  <c r="AM81" i="8"/>
  <c r="AO81" i="8"/>
  <c r="AI69" i="8"/>
  <c r="AF69" i="8"/>
  <c r="B50" i="6"/>
  <c r="AG69" i="8"/>
  <c r="AH69" i="8"/>
  <c r="AJ69" i="8"/>
  <c r="E50" i="6"/>
  <c r="AK69" i="8"/>
  <c r="AM69" i="8"/>
  <c r="AO69" i="8"/>
  <c r="B57" i="6"/>
  <c r="AI76" i="8"/>
  <c r="AG76" i="8"/>
  <c r="AH76" i="8"/>
  <c r="AF76" i="8"/>
  <c r="AK76" i="8"/>
  <c r="AJ76" i="8"/>
  <c r="E57" i="6"/>
  <c r="AM76" i="8"/>
  <c r="AK75" i="8"/>
  <c r="AH75" i="8"/>
  <c r="B56" i="6"/>
  <c r="AI75" i="8"/>
  <c r="AG75" i="8"/>
  <c r="AJ75" i="8"/>
  <c r="E56" i="6"/>
  <c r="AF75" i="8"/>
  <c r="AM75" i="8"/>
  <c r="B46" i="6"/>
  <c r="AI65" i="8"/>
  <c r="AH65" i="8"/>
  <c r="AF65" i="8"/>
  <c r="AK65" i="8"/>
  <c r="AG65" i="8"/>
  <c r="AJ65" i="8"/>
  <c r="E46" i="6"/>
  <c r="AM65" i="8"/>
  <c r="AK71" i="8"/>
  <c r="B52" i="6"/>
  <c r="AG71" i="8"/>
  <c r="AJ71" i="8"/>
  <c r="E52" i="6"/>
  <c r="AI71" i="8"/>
  <c r="AF71" i="8"/>
  <c r="AH71" i="8"/>
  <c r="AM71" i="8"/>
  <c r="AO71" i="8"/>
  <c r="AG74" i="8"/>
  <c r="AH74" i="8"/>
  <c r="B55" i="6"/>
  <c r="AI74" i="8"/>
  <c r="AF74" i="8"/>
  <c r="AJ74" i="8"/>
  <c r="E55" i="6"/>
  <c r="AK74" i="8"/>
  <c r="AM74" i="8"/>
  <c r="AO74" i="8"/>
  <c r="AG70" i="8"/>
  <c r="AH70" i="8"/>
  <c r="B51" i="6"/>
  <c r="AI70" i="8"/>
  <c r="AF70" i="8"/>
  <c r="AK70" i="8"/>
  <c r="AJ70" i="8"/>
  <c r="E51" i="6"/>
  <c r="AM70" i="8"/>
  <c r="AO70" i="8"/>
  <c r="B54" i="6"/>
  <c r="AG73" i="8"/>
  <c r="AK73" i="8"/>
  <c r="AI73" i="8"/>
  <c r="AH73" i="8"/>
  <c r="AF73" i="8"/>
  <c r="AJ73" i="8"/>
  <c r="E54" i="6"/>
  <c r="AM73" i="8"/>
  <c r="AO73" i="8"/>
  <c r="AF82" i="8"/>
  <c r="AI82" i="8"/>
  <c r="AK82" i="8"/>
  <c r="AH82" i="8"/>
  <c r="AG82" i="8"/>
  <c r="AJ82" i="8"/>
  <c r="AM82" i="8"/>
  <c r="AO82" i="8"/>
  <c r="AI51" i="8"/>
  <c r="AJ50" i="8"/>
  <c r="B53" i="6"/>
  <c r="AI72" i="8"/>
  <c r="AG72" i="8"/>
  <c r="AH72" i="8"/>
  <c r="AF72" i="8"/>
  <c r="AK72" i="8"/>
  <c r="AJ72" i="8"/>
  <c r="E53" i="6"/>
  <c r="AM72" i="8"/>
  <c r="AO72" i="8"/>
  <c r="AI77" i="8"/>
  <c r="AF77" i="8"/>
  <c r="B58" i="6"/>
  <c r="AG77" i="8"/>
  <c r="AH77" i="8"/>
  <c r="AJ77" i="8"/>
  <c r="E58" i="6"/>
  <c r="AK77" i="8"/>
  <c r="AM77" i="8"/>
  <c r="AO77" i="8"/>
  <c r="B45" i="6"/>
  <c r="AK64" i="8"/>
  <c r="AK87" i="8"/>
  <c r="AG64" i="8"/>
  <c r="AI64" i="8"/>
  <c r="AJ64" i="8"/>
  <c r="AH64" i="8"/>
  <c r="AH87" i="8"/>
  <c r="AF64" i="8"/>
  <c r="AM64" i="8"/>
  <c r="AO64" i="8"/>
  <c r="AK67" i="8"/>
  <c r="AH67" i="8"/>
  <c r="B48" i="6"/>
  <c r="AI67" i="8"/>
  <c r="AJ67" i="8"/>
  <c r="E48" i="6"/>
  <c r="AG67" i="8"/>
  <c r="AF67" i="8"/>
  <c r="AM67" i="8"/>
  <c r="AO67" i="8"/>
  <c r="AJ87" i="8"/>
  <c r="E45" i="6"/>
  <c r="H45" i="6"/>
  <c r="D45" i="6"/>
  <c r="D53" i="6"/>
  <c r="H53" i="6"/>
  <c r="H52" i="6"/>
  <c r="D52" i="6"/>
  <c r="D56" i="6"/>
  <c r="H56" i="6"/>
  <c r="H50" i="6"/>
  <c r="D50" i="6"/>
  <c r="AO83" i="8"/>
  <c r="D49" i="6"/>
  <c r="H49" i="6"/>
  <c r="F47" i="6"/>
  <c r="C47" i="6"/>
  <c r="F48" i="6"/>
  <c r="C48" i="6"/>
  <c r="C45" i="6"/>
  <c r="F45" i="6"/>
  <c r="AI87" i="8"/>
  <c r="C58" i="6"/>
  <c r="F58" i="6"/>
  <c r="F53" i="6"/>
  <c r="C53" i="6"/>
  <c r="H54" i="6"/>
  <c r="D54" i="6"/>
  <c r="D59" i="6"/>
  <c r="H59" i="6"/>
  <c r="H48" i="6"/>
  <c r="D48" i="6"/>
  <c r="AF87" i="8"/>
  <c r="AG87" i="8"/>
  <c r="D58" i="6"/>
  <c r="H58" i="6"/>
  <c r="AI52" i="8"/>
  <c r="AJ51" i="8"/>
  <c r="C54" i="6"/>
  <c r="F54" i="6"/>
  <c r="C51" i="6"/>
  <c r="F51" i="6"/>
  <c r="F55" i="6"/>
  <c r="C55" i="6"/>
  <c r="F52" i="6"/>
  <c r="C52" i="6"/>
  <c r="D46" i="6"/>
  <c r="H46" i="6"/>
  <c r="D57" i="6"/>
  <c r="H57" i="6"/>
  <c r="D51" i="6"/>
  <c r="H51" i="6"/>
  <c r="H55" i="6"/>
  <c r="D55" i="6"/>
  <c r="AO65" i="8"/>
  <c r="AO75" i="8"/>
  <c r="AO76" i="8"/>
  <c r="F50" i="6"/>
  <c r="C50" i="6"/>
  <c r="AO68" i="8"/>
  <c r="F59" i="6"/>
  <c r="C59" i="6"/>
  <c r="H47" i="6"/>
  <c r="D47" i="6"/>
  <c r="F56" i="6"/>
  <c r="C56" i="6"/>
  <c r="C60" i="6"/>
  <c r="F49" i="6"/>
  <c r="C49" i="6"/>
  <c r="C46" i="6"/>
  <c r="F46" i="6"/>
  <c r="F57" i="6"/>
  <c r="C57" i="6"/>
  <c r="AJ52" i="8"/>
  <c r="AI53" i="8"/>
  <c r="AJ53" i="8"/>
  <c r="AK15" i="8"/>
  <c r="AK5" i="8"/>
  <c r="AK10" i="8"/>
  <c r="AK48" i="8"/>
  <c r="AK19" i="8"/>
  <c r="AK11" i="8"/>
  <c r="AK53" i="8"/>
  <c r="AK18" i="8"/>
  <c r="AK30" i="8"/>
  <c r="AK33" i="8"/>
  <c r="AK6" i="8"/>
  <c r="AK41" i="8"/>
  <c r="AK51" i="8"/>
  <c r="AK43" i="8"/>
  <c r="AK4" i="8"/>
  <c r="AK14" i="8"/>
  <c r="AK12" i="8"/>
  <c r="AK7" i="8"/>
  <c r="AK32" i="8"/>
  <c r="AK27" i="8"/>
  <c r="AK16" i="8"/>
  <c r="AK38" i="8"/>
  <c r="AK8" i="8"/>
  <c r="AK20" i="8"/>
  <c r="AK34" i="8"/>
  <c r="AK21" i="8"/>
  <c r="AK36" i="8"/>
  <c r="AK17" i="8"/>
  <c r="AK39" i="8"/>
  <c r="AK37" i="8"/>
  <c r="AK47" i="8"/>
  <c r="AK13" i="8"/>
  <c r="AK24" i="8"/>
  <c r="AK29" i="8"/>
  <c r="AK50" i="8"/>
  <c r="AK9" i="8"/>
  <c r="AK42" i="8"/>
  <c r="AK49" i="8"/>
  <c r="AK25" i="8"/>
  <c r="AK26" i="8"/>
  <c r="AK40" i="8"/>
  <c r="AK23" i="8"/>
  <c r="AK31" i="8"/>
  <c r="AK28" i="8"/>
  <c r="AK22" i="8"/>
  <c r="AK35" i="8"/>
  <c r="AK44" i="8"/>
  <c r="AK45" i="8"/>
  <c r="AK46" i="8"/>
  <c r="AK52" i="8"/>
  <c r="BE45" i="8"/>
  <c r="AL45" i="8"/>
  <c r="BF45" i="8"/>
  <c r="AM45" i="8"/>
  <c r="BG45" i="8"/>
  <c r="BE28" i="8"/>
  <c r="AL28" i="8"/>
  <c r="BF28" i="8"/>
  <c r="AM28" i="8"/>
  <c r="BG28" i="8"/>
  <c r="BE26" i="8"/>
  <c r="AM26" i="8"/>
  <c r="BG26" i="8"/>
  <c r="AL26" i="8"/>
  <c r="BF26" i="8"/>
  <c r="AM9" i="8"/>
  <c r="BG9" i="8"/>
  <c r="AL9" i="8"/>
  <c r="BF9" i="8"/>
  <c r="BE9" i="8"/>
  <c r="U70" i="8"/>
  <c r="H64" i="8"/>
  <c r="AM13" i="8"/>
  <c r="BG13" i="8"/>
  <c r="U74" i="8"/>
  <c r="L64" i="8"/>
  <c r="BE13" i="8"/>
  <c r="AL13" i="8"/>
  <c r="BF13" i="8"/>
  <c r="AM17" i="8"/>
  <c r="BG17" i="8"/>
  <c r="AL17" i="8"/>
  <c r="BF17" i="8"/>
  <c r="U78" i="8"/>
  <c r="P64" i="8"/>
  <c r="BE17" i="8"/>
  <c r="AM20" i="8"/>
  <c r="BG20" i="8"/>
  <c r="BE20" i="8"/>
  <c r="AL20" i="8"/>
  <c r="BF20" i="8"/>
  <c r="BE27" i="8"/>
  <c r="AL27" i="8"/>
  <c r="BF27" i="8"/>
  <c r="AM27" i="8"/>
  <c r="BG27" i="8"/>
  <c r="AM14" i="8"/>
  <c r="BG14" i="8"/>
  <c r="AL14" i="8"/>
  <c r="BF14" i="8"/>
  <c r="U75" i="8"/>
  <c r="M64" i="8"/>
  <c r="BE14" i="8"/>
  <c r="AL41" i="8"/>
  <c r="BF41" i="8"/>
  <c r="BE41" i="8"/>
  <c r="AM41" i="8"/>
  <c r="BG41" i="8"/>
  <c r="AM18" i="8"/>
  <c r="BG18" i="8"/>
  <c r="BE18" i="8"/>
  <c r="AL18" i="8"/>
  <c r="BF18" i="8"/>
  <c r="U79" i="8"/>
  <c r="Q64" i="8"/>
  <c r="AL48" i="8"/>
  <c r="BF48" i="8"/>
  <c r="BE48" i="8"/>
  <c r="AM48" i="8"/>
  <c r="BG48" i="8"/>
  <c r="AM22" i="8"/>
  <c r="BG22" i="8"/>
  <c r="BE22" i="8"/>
  <c r="AL22" i="8"/>
  <c r="BF22" i="8"/>
  <c r="AM44" i="8"/>
  <c r="BG44" i="8"/>
  <c r="AL44" i="8"/>
  <c r="BF44" i="8"/>
  <c r="BE44" i="8"/>
  <c r="BE31" i="8"/>
  <c r="AL31" i="8"/>
  <c r="BF31" i="8"/>
  <c r="AM31" i="8"/>
  <c r="BG31" i="8"/>
  <c r="BE25" i="8"/>
  <c r="AM25" i="8"/>
  <c r="BG25" i="8"/>
  <c r="AL25" i="8"/>
  <c r="BF25" i="8"/>
  <c r="BE50" i="8"/>
  <c r="AL50" i="8"/>
  <c r="BF50" i="8"/>
  <c r="AM50" i="8"/>
  <c r="BG50" i="8"/>
  <c r="AM47" i="8"/>
  <c r="BG47" i="8"/>
  <c r="BE47" i="8"/>
  <c r="AL47" i="8"/>
  <c r="BF47" i="8"/>
  <c r="BE36" i="8"/>
  <c r="AL36" i="8"/>
  <c r="BF36" i="8"/>
  <c r="AM36" i="8"/>
  <c r="BG36" i="8"/>
  <c r="AM8" i="8"/>
  <c r="BG8" i="8"/>
  <c r="U69" i="8"/>
  <c r="G64" i="8"/>
  <c r="BE8" i="8"/>
  <c r="AL8" i="8"/>
  <c r="BF8" i="8"/>
  <c r="BE32" i="8"/>
  <c r="AL32" i="8"/>
  <c r="BF32" i="8"/>
  <c r="AM32" i="8"/>
  <c r="BG32" i="8"/>
  <c r="AM4" i="8"/>
  <c r="BG4" i="8"/>
  <c r="BE4" i="8"/>
  <c r="AL4" i="8"/>
  <c r="BF4" i="8"/>
  <c r="AK2" i="8"/>
  <c r="AW1" i="8"/>
  <c r="C2" i="8"/>
  <c r="AK1" i="8"/>
  <c r="U65" i="8"/>
  <c r="C64" i="8"/>
  <c r="AM6" i="8"/>
  <c r="BG6" i="8"/>
  <c r="AL6" i="8"/>
  <c r="BF6" i="8"/>
  <c r="BE6" i="8"/>
  <c r="U67" i="8"/>
  <c r="E64" i="8"/>
  <c r="AM53" i="8"/>
  <c r="BG53" i="8"/>
  <c r="BE53" i="8"/>
  <c r="AL53" i="8"/>
  <c r="BF53" i="8"/>
  <c r="AM10" i="8"/>
  <c r="BG10" i="8"/>
  <c r="AL10" i="8"/>
  <c r="BF10" i="8"/>
  <c r="U71" i="8"/>
  <c r="I64" i="8"/>
  <c r="BE10" i="8"/>
  <c r="BE52" i="8"/>
  <c r="AL52" i="8"/>
  <c r="BF52" i="8"/>
  <c r="AM52" i="8"/>
  <c r="BG52" i="8"/>
  <c r="AM35" i="8"/>
  <c r="BG35" i="8"/>
  <c r="BE35" i="8"/>
  <c r="AL35" i="8"/>
  <c r="BF35" i="8"/>
  <c r="AM23" i="8"/>
  <c r="BG23" i="8"/>
  <c r="AL23" i="8"/>
  <c r="BF23" i="8"/>
  <c r="BE23" i="8"/>
  <c r="BE49" i="8"/>
  <c r="AL49" i="8"/>
  <c r="BF49" i="8"/>
  <c r="AM49" i="8"/>
  <c r="BG49" i="8"/>
  <c r="AM29" i="8"/>
  <c r="BG29" i="8"/>
  <c r="BE29" i="8"/>
  <c r="AL29" i="8"/>
  <c r="BF29" i="8"/>
  <c r="AL37" i="8"/>
  <c r="BF37" i="8"/>
  <c r="AM37" i="8"/>
  <c r="BG37" i="8"/>
  <c r="BE37" i="8"/>
  <c r="BE21" i="8"/>
  <c r="AL21" i="8"/>
  <c r="BF21" i="8"/>
  <c r="AM21" i="8"/>
  <c r="BG21" i="8"/>
  <c r="AM38" i="8"/>
  <c r="BG38" i="8"/>
  <c r="BE38" i="8"/>
  <c r="AL38" i="8"/>
  <c r="BF38" i="8"/>
  <c r="AM7" i="8"/>
  <c r="BG7" i="8"/>
  <c r="U68" i="8"/>
  <c r="F64" i="8"/>
  <c r="AL7" i="8"/>
  <c r="BF7" i="8"/>
  <c r="BE7" i="8"/>
  <c r="AL43" i="8"/>
  <c r="BF43" i="8"/>
  <c r="AM43" i="8"/>
  <c r="BG43" i="8"/>
  <c r="BE43" i="8"/>
  <c r="AM33" i="8"/>
  <c r="BG33" i="8"/>
  <c r="BE33" i="8"/>
  <c r="AL33" i="8"/>
  <c r="BF33" i="8"/>
  <c r="AM11" i="8"/>
  <c r="BG11" i="8"/>
  <c r="U72" i="8"/>
  <c r="J64" i="8"/>
  <c r="BE11" i="8"/>
  <c r="AL11" i="8"/>
  <c r="BF11" i="8"/>
  <c r="AM5" i="8"/>
  <c r="BG5" i="8"/>
  <c r="U66" i="8"/>
  <c r="D64" i="8"/>
  <c r="BE5" i="8"/>
  <c r="AL5" i="8"/>
  <c r="BF5" i="8"/>
  <c r="BE46" i="8"/>
  <c r="AM46" i="8"/>
  <c r="BG46" i="8"/>
  <c r="AL46" i="8"/>
  <c r="BF46" i="8"/>
  <c r="AM40" i="8"/>
  <c r="BG40" i="8"/>
  <c r="BE40" i="8"/>
  <c r="AL40" i="8"/>
  <c r="BF40" i="8"/>
  <c r="AL42" i="8"/>
  <c r="BF42" i="8"/>
  <c r="AM42" i="8"/>
  <c r="BG42" i="8"/>
  <c r="BE42" i="8"/>
  <c r="AM24" i="8"/>
  <c r="BG24" i="8"/>
  <c r="AL24" i="8"/>
  <c r="BF24" i="8"/>
  <c r="BE24" i="8"/>
  <c r="AL39" i="8"/>
  <c r="BF39" i="8"/>
  <c r="BE39" i="8"/>
  <c r="AM39" i="8"/>
  <c r="BG39" i="8"/>
  <c r="BE34" i="8"/>
  <c r="AL34" i="8"/>
  <c r="BF34" i="8"/>
  <c r="AM34" i="8"/>
  <c r="BG34" i="8"/>
  <c r="AM16" i="8"/>
  <c r="BG16" i="8"/>
  <c r="AL16" i="8"/>
  <c r="BF16" i="8"/>
  <c r="BE16" i="8"/>
  <c r="U77" i="8"/>
  <c r="O64" i="8"/>
  <c r="AM12" i="8"/>
  <c r="BG12" i="8"/>
  <c r="U73" i="8"/>
  <c r="K64" i="8"/>
  <c r="BE12" i="8"/>
  <c r="AL12" i="8"/>
  <c r="BF12" i="8"/>
  <c r="BE51" i="8"/>
  <c r="AL51" i="8"/>
  <c r="BF51" i="8"/>
  <c r="AM51" i="8"/>
  <c r="BG51" i="8"/>
  <c r="AM30" i="8"/>
  <c r="BG30" i="8"/>
  <c r="BE30" i="8"/>
  <c r="AL30" i="8"/>
  <c r="BF30" i="8"/>
  <c r="AM19" i="8"/>
  <c r="BG19" i="8"/>
  <c r="BE19" i="8"/>
  <c r="AL19" i="8"/>
  <c r="BF19" i="8"/>
  <c r="AM15" i="8"/>
  <c r="BG15" i="8"/>
  <c r="AL15" i="8"/>
  <c r="BF15" i="8"/>
  <c r="U76" i="8"/>
  <c r="N64" i="8"/>
  <c r="BE15" i="8"/>
  <c r="BL19" i="8"/>
  <c r="BN19" i="8"/>
  <c r="BI19" i="8"/>
  <c r="BO19" i="8"/>
  <c r="BM19" i="8"/>
  <c r="BJ19" i="8"/>
  <c r="BK19" i="8"/>
  <c r="BL5" i="8"/>
  <c r="I5" i="6"/>
  <c r="R66" i="8"/>
  <c r="BK5" i="8"/>
  <c r="BI5" i="8"/>
  <c r="BJ5" i="8"/>
  <c r="BO5" i="8"/>
  <c r="BM5" i="8"/>
  <c r="BN5" i="8"/>
  <c r="B5" i="6"/>
  <c r="BO42" i="8"/>
  <c r="BK42" i="8"/>
  <c r="BL42" i="8"/>
  <c r="BN42" i="8"/>
  <c r="BI42" i="8"/>
  <c r="BJ42" i="8"/>
  <c r="BM42" i="8"/>
  <c r="BO40" i="8"/>
  <c r="BK40" i="8"/>
  <c r="BL40" i="8"/>
  <c r="BN40" i="8"/>
  <c r="BI40" i="8"/>
  <c r="BJ40" i="8"/>
  <c r="BM40" i="8"/>
  <c r="BI43" i="8"/>
  <c r="BO43" i="8"/>
  <c r="BM43" i="8"/>
  <c r="BJ43" i="8"/>
  <c r="BK43" i="8"/>
  <c r="BL43" i="8"/>
  <c r="BN43" i="8"/>
  <c r="BL38" i="8"/>
  <c r="BN38" i="8"/>
  <c r="BI38" i="8"/>
  <c r="BJ38" i="8"/>
  <c r="BM38" i="8"/>
  <c r="BO38" i="8"/>
  <c r="BK38" i="8"/>
  <c r="BL53" i="8"/>
  <c r="BN53" i="8"/>
  <c r="BI53" i="8"/>
  <c r="BO53" i="8"/>
  <c r="BM53" i="8"/>
  <c r="BJ53" i="8"/>
  <c r="BK53" i="8"/>
  <c r="BL6" i="8"/>
  <c r="I6" i="6"/>
  <c r="R67" i="8"/>
  <c r="BO6" i="8"/>
  <c r="BJ6" i="8"/>
  <c r="BN6" i="8"/>
  <c r="BK6" i="8"/>
  <c r="BI6" i="8"/>
  <c r="BM6" i="8"/>
  <c r="B6" i="6"/>
  <c r="BO50" i="8"/>
  <c r="BK50" i="8"/>
  <c r="BL50" i="8"/>
  <c r="BN50" i="8"/>
  <c r="BI50" i="8"/>
  <c r="BJ50" i="8"/>
  <c r="BM50" i="8"/>
  <c r="BJ25" i="8"/>
  <c r="BK25" i="8"/>
  <c r="BL25" i="8"/>
  <c r="BN25" i="8"/>
  <c r="BI25" i="8"/>
  <c r="BO25" i="8"/>
  <c r="BM25" i="8"/>
  <c r="BL14" i="8"/>
  <c r="I14" i="6"/>
  <c r="BI14" i="8"/>
  <c r="R75" i="8"/>
  <c r="BM14" i="8"/>
  <c r="BJ14" i="8"/>
  <c r="BK14" i="8"/>
  <c r="BO14" i="8"/>
  <c r="BN14" i="8"/>
  <c r="B14" i="6"/>
  <c r="BO26" i="8"/>
  <c r="BK26" i="8"/>
  <c r="BL26" i="8"/>
  <c r="BN26" i="8"/>
  <c r="BI26" i="8"/>
  <c r="BJ26" i="8"/>
  <c r="BM26" i="8"/>
  <c r="BL11" i="8"/>
  <c r="I11" i="6"/>
  <c r="BN11" i="8"/>
  <c r="R72" i="8"/>
  <c r="BI11" i="8"/>
  <c r="BO11" i="8"/>
  <c r="BM11" i="8"/>
  <c r="BJ11" i="8"/>
  <c r="BK11" i="8"/>
  <c r="B11" i="6"/>
  <c r="BL15" i="8"/>
  <c r="I15" i="6"/>
  <c r="R76" i="8"/>
  <c r="BM15" i="8"/>
  <c r="BO15" i="8"/>
  <c r="BK15" i="8"/>
  <c r="BJ15" i="8"/>
  <c r="BN15" i="8"/>
  <c r="BI15" i="8"/>
  <c r="B15" i="6"/>
  <c r="BL12" i="8"/>
  <c r="I12" i="6"/>
  <c r="BI12" i="8"/>
  <c r="R73" i="8"/>
  <c r="BM12" i="8"/>
  <c r="BJ12" i="8"/>
  <c r="BK12" i="8"/>
  <c r="BO12" i="8"/>
  <c r="BN12" i="8"/>
  <c r="B12" i="6"/>
  <c r="BL16" i="8"/>
  <c r="I16" i="6"/>
  <c r="BJ16" i="8"/>
  <c r="BK16" i="8"/>
  <c r="BO16" i="8"/>
  <c r="BN16" i="8"/>
  <c r="BI16" i="8"/>
  <c r="R77" i="8"/>
  <c r="BM16" i="8"/>
  <c r="B16" i="6"/>
  <c r="BO39" i="8"/>
  <c r="BM39" i="8"/>
  <c r="BJ39" i="8"/>
  <c r="BK39" i="8"/>
  <c r="BL39" i="8"/>
  <c r="BN39" i="8"/>
  <c r="BI39" i="8"/>
  <c r="BL7" i="8"/>
  <c r="I7" i="6"/>
  <c r="BO7" i="8"/>
  <c r="BI7" i="8"/>
  <c r="BJ7" i="8"/>
  <c r="BN7" i="8"/>
  <c r="R68" i="8"/>
  <c r="BK7" i="8"/>
  <c r="BM7" i="8"/>
  <c r="B7" i="6"/>
  <c r="BL21" i="8"/>
  <c r="BN21" i="8"/>
  <c r="BI21" i="8"/>
  <c r="BO21" i="8"/>
  <c r="BM21" i="8"/>
  <c r="BJ21" i="8"/>
  <c r="BK21" i="8"/>
  <c r="BO37" i="8"/>
  <c r="BM37" i="8"/>
  <c r="BJ37" i="8"/>
  <c r="BK37" i="8"/>
  <c r="BL37" i="8"/>
  <c r="BN37" i="8"/>
  <c r="BI37" i="8"/>
  <c r="BO29" i="8"/>
  <c r="BM29" i="8"/>
  <c r="BJ29" i="8"/>
  <c r="BK29" i="8"/>
  <c r="BL29" i="8"/>
  <c r="BN29" i="8"/>
  <c r="BI29" i="8"/>
  <c r="BL10" i="8"/>
  <c r="I10" i="6"/>
  <c r="BJ10" i="8"/>
  <c r="BK10" i="8"/>
  <c r="BO10" i="8"/>
  <c r="BN10" i="8"/>
  <c r="BI10" i="8"/>
  <c r="R71" i="8"/>
  <c r="BM10" i="8"/>
  <c r="B10" i="6"/>
  <c r="BL8" i="8"/>
  <c r="I8" i="6"/>
  <c r="BI8" i="8"/>
  <c r="BM8" i="8"/>
  <c r="BN8" i="8"/>
  <c r="BK8" i="8"/>
  <c r="R69" i="8"/>
  <c r="BJ8" i="8"/>
  <c r="BO8" i="8"/>
  <c r="B8" i="6"/>
  <c r="BL18" i="8"/>
  <c r="I18" i="6"/>
  <c r="BJ18" i="8"/>
  <c r="BK18" i="8"/>
  <c r="BO18" i="8"/>
  <c r="BN18" i="8"/>
  <c r="BI18" i="8"/>
  <c r="R79" i="8"/>
  <c r="BM18" i="8"/>
  <c r="B18" i="6"/>
  <c r="BO27" i="8"/>
  <c r="BM27" i="8"/>
  <c r="BJ27" i="8"/>
  <c r="BK27" i="8"/>
  <c r="BL27" i="8"/>
  <c r="BN27" i="8"/>
  <c r="BI27" i="8"/>
  <c r="BL45" i="8"/>
  <c r="BN45" i="8"/>
  <c r="BI45" i="8"/>
  <c r="BO45" i="8"/>
  <c r="BM45" i="8"/>
  <c r="BJ45" i="8"/>
  <c r="BK45" i="8"/>
  <c r="BL30" i="8"/>
  <c r="BN30" i="8"/>
  <c r="BI30" i="8"/>
  <c r="BJ30" i="8"/>
  <c r="BM30" i="8"/>
  <c r="BO30" i="8"/>
  <c r="BK30" i="8"/>
  <c r="BO34" i="8"/>
  <c r="BK34" i="8"/>
  <c r="BL34" i="8"/>
  <c r="BN34" i="8"/>
  <c r="BI34" i="8"/>
  <c r="BJ34" i="8"/>
  <c r="BM34" i="8"/>
  <c r="BL24" i="8"/>
  <c r="BN24" i="8"/>
  <c r="BI24" i="8"/>
  <c r="BJ24" i="8"/>
  <c r="BM24" i="8"/>
  <c r="BO24" i="8"/>
  <c r="BK24" i="8"/>
  <c r="BJ46" i="8"/>
  <c r="BM46" i="8"/>
  <c r="BO46" i="8"/>
  <c r="BK46" i="8"/>
  <c r="BL46" i="8"/>
  <c r="BN46" i="8"/>
  <c r="BI46" i="8"/>
  <c r="BO33" i="8"/>
  <c r="BM33" i="8"/>
  <c r="BJ33" i="8"/>
  <c r="BK33" i="8"/>
  <c r="BL33" i="8"/>
  <c r="BN33" i="8"/>
  <c r="BI33" i="8"/>
  <c r="BI49" i="8"/>
  <c r="BO49" i="8"/>
  <c r="BM49" i="8"/>
  <c r="BJ49" i="8"/>
  <c r="BK49" i="8"/>
  <c r="BL49" i="8"/>
  <c r="BN49" i="8"/>
  <c r="BJ35" i="8"/>
  <c r="BK35" i="8"/>
  <c r="BL35" i="8"/>
  <c r="BN35" i="8"/>
  <c r="BI35" i="8"/>
  <c r="BO35" i="8"/>
  <c r="BM35" i="8"/>
  <c r="BL4" i="8"/>
  <c r="BK4" i="8"/>
  <c r="BN4" i="8"/>
  <c r="BM4" i="8"/>
  <c r="BJ4" i="8"/>
  <c r="BI4" i="8"/>
  <c r="R65" i="8"/>
  <c r="BO4" i="8"/>
  <c r="B4" i="6"/>
  <c r="BL36" i="8"/>
  <c r="BN36" i="8"/>
  <c r="BI36" i="8"/>
  <c r="BJ36" i="8"/>
  <c r="BM36" i="8"/>
  <c r="BO36" i="8"/>
  <c r="BK36" i="8"/>
  <c r="BJ31" i="8"/>
  <c r="BK31" i="8"/>
  <c r="BL31" i="8"/>
  <c r="BN31" i="8"/>
  <c r="BI31" i="8"/>
  <c r="BO31" i="8"/>
  <c r="BM31" i="8"/>
  <c r="BO22" i="8"/>
  <c r="BK22" i="8"/>
  <c r="BL22" i="8"/>
  <c r="BN22" i="8"/>
  <c r="BI22" i="8"/>
  <c r="BJ22" i="8"/>
  <c r="BM22" i="8"/>
  <c r="BO41" i="8"/>
  <c r="BM41" i="8"/>
  <c r="BJ41" i="8"/>
  <c r="BK41" i="8"/>
  <c r="BL41" i="8"/>
  <c r="BN41" i="8"/>
  <c r="BI41" i="8"/>
  <c r="BL20" i="8"/>
  <c r="BN20" i="8"/>
  <c r="BI20" i="8"/>
  <c r="BJ20" i="8"/>
  <c r="BM20" i="8"/>
  <c r="BO20" i="8"/>
  <c r="BK20" i="8"/>
  <c r="BL17" i="8"/>
  <c r="I17" i="6"/>
  <c r="R78" i="8"/>
  <c r="BM17" i="8"/>
  <c r="BO17" i="8"/>
  <c r="BK17" i="8"/>
  <c r="BJ17" i="8"/>
  <c r="BN17" i="8"/>
  <c r="BI17" i="8"/>
  <c r="B17" i="6"/>
  <c r="BL13" i="8"/>
  <c r="I13" i="6"/>
  <c r="BN13" i="8"/>
  <c r="R74" i="8"/>
  <c r="BI13" i="8"/>
  <c r="BO13" i="8"/>
  <c r="BM13" i="8"/>
  <c r="BJ13" i="8"/>
  <c r="BK13" i="8"/>
  <c r="B13" i="6"/>
  <c r="BL9" i="8"/>
  <c r="I9" i="6"/>
  <c r="R70" i="8"/>
  <c r="BK9" i="8"/>
  <c r="BO9" i="8"/>
  <c r="BI9" i="8"/>
  <c r="BJ9" i="8"/>
  <c r="BM9" i="8"/>
  <c r="BN9" i="8"/>
  <c r="B9" i="6"/>
  <c r="BJ28" i="8"/>
  <c r="BM28" i="8"/>
  <c r="BO28" i="8"/>
  <c r="BK28" i="8"/>
  <c r="BL28" i="8"/>
  <c r="BN28" i="8"/>
  <c r="BI28" i="8"/>
  <c r="BL51" i="8"/>
  <c r="BN51" i="8"/>
  <c r="BI51" i="8"/>
  <c r="BO51" i="8"/>
  <c r="BM51" i="8"/>
  <c r="BJ51" i="8"/>
  <c r="BK51" i="8"/>
  <c r="BI23" i="8"/>
  <c r="BO23" i="8"/>
  <c r="BM23" i="8"/>
  <c r="BJ23" i="8"/>
  <c r="BK23" i="8"/>
  <c r="BL23" i="8"/>
  <c r="BN23" i="8"/>
  <c r="BO52" i="8"/>
  <c r="BK52" i="8"/>
  <c r="BL52" i="8"/>
  <c r="BN52" i="8"/>
  <c r="BI52" i="8"/>
  <c r="BJ52" i="8"/>
  <c r="BM52" i="8"/>
  <c r="BI32" i="8"/>
  <c r="BJ32" i="8"/>
  <c r="BM32" i="8"/>
  <c r="BO32" i="8"/>
  <c r="BK32" i="8"/>
  <c r="BL32" i="8"/>
  <c r="BN32" i="8"/>
  <c r="BO47" i="8"/>
  <c r="BM47" i="8"/>
  <c r="BJ47" i="8"/>
  <c r="BK47" i="8"/>
  <c r="BL47" i="8"/>
  <c r="BN47" i="8"/>
  <c r="BI47" i="8"/>
  <c r="BL44" i="8"/>
  <c r="BN44" i="8"/>
  <c r="BI44" i="8"/>
  <c r="BJ44" i="8"/>
  <c r="BM44" i="8"/>
  <c r="BO44" i="8"/>
  <c r="BK44" i="8"/>
  <c r="BI48" i="8"/>
  <c r="BJ48" i="8"/>
  <c r="BM48" i="8"/>
  <c r="BO48" i="8"/>
  <c r="BK48" i="8"/>
  <c r="BL48" i="8"/>
  <c r="BN48" i="8"/>
  <c r="B71" i="6"/>
  <c r="D9" i="6"/>
  <c r="M9" i="6"/>
  <c r="E9" i="6"/>
  <c r="J9" i="6"/>
  <c r="F9" i="6"/>
  <c r="K9" i="6"/>
  <c r="H9" i="6"/>
  <c r="T9" i="6"/>
  <c r="B31" i="15"/>
  <c r="R9" i="6"/>
  <c r="Y29" i="6"/>
  <c r="X29" i="6"/>
  <c r="L9" i="6"/>
  <c r="N9" i="6"/>
  <c r="D71" i="6"/>
  <c r="E31" i="15"/>
  <c r="W29" i="6"/>
  <c r="C9" i="6"/>
  <c r="B89" i="8"/>
  <c r="C63" i="8"/>
  <c r="BN54" i="8"/>
  <c r="Q63" i="8"/>
  <c r="B103" i="8"/>
  <c r="D10" i="6"/>
  <c r="M10" i="6"/>
  <c r="B72" i="6"/>
  <c r="F10" i="6"/>
  <c r="K10" i="6"/>
  <c r="E10" i="6"/>
  <c r="J10" i="6"/>
  <c r="X30" i="6"/>
  <c r="Y30" i="6"/>
  <c r="H10" i="6"/>
  <c r="T10" i="6"/>
  <c r="B32" i="15"/>
  <c r="R10" i="6"/>
  <c r="L10" i="6"/>
  <c r="N10" i="6"/>
  <c r="D72" i="6"/>
  <c r="W30" i="6"/>
  <c r="E32" i="15"/>
  <c r="C10" i="6"/>
  <c r="B101" i="8"/>
  <c r="O63" i="8"/>
  <c r="B77" i="6"/>
  <c r="F15" i="6"/>
  <c r="K15" i="6"/>
  <c r="D15" i="6"/>
  <c r="M15" i="6"/>
  <c r="E15" i="6"/>
  <c r="J15" i="6"/>
  <c r="X35" i="6"/>
  <c r="H15" i="6"/>
  <c r="T15" i="6"/>
  <c r="B37" i="15"/>
  <c r="R15" i="6"/>
  <c r="Y35" i="6"/>
  <c r="L15" i="6"/>
  <c r="N15" i="6"/>
  <c r="D77" i="6"/>
  <c r="E37" i="15"/>
  <c r="W35" i="6"/>
  <c r="C15" i="6"/>
  <c r="B68" i="6"/>
  <c r="D6" i="6"/>
  <c r="M6" i="6"/>
  <c r="E6" i="6"/>
  <c r="J6" i="6"/>
  <c r="F6" i="6"/>
  <c r="K6" i="6"/>
  <c r="H6" i="6"/>
  <c r="B28" i="15"/>
  <c r="Y26" i="6"/>
  <c r="R6" i="6"/>
  <c r="X26" i="6"/>
  <c r="T6" i="6"/>
  <c r="L6" i="6"/>
  <c r="N6" i="6"/>
  <c r="D68" i="6"/>
  <c r="E28" i="15"/>
  <c r="W26" i="6"/>
  <c r="C6" i="6"/>
  <c r="B67" i="6"/>
  <c r="E5" i="6"/>
  <c r="J5" i="6"/>
  <c r="D5" i="6"/>
  <c r="M5" i="6"/>
  <c r="F5" i="6"/>
  <c r="K5" i="6"/>
  <c r="B27" i="15"/>
  <c r="X25" i="6"/>
  <c r="R5" i="6"/>
  <c r="H5" i="6"/>
  <c r="Y25" i="6"/>
  <c r="T5" i="6"/>
  <c r="L5" i="6"/>
  <c r="N5" i="6"/>
  <c r="D67" i="6"/>
  <c r="E27" i="15"/>
  <c r="W25" i="6"/>
  <c r="C5" i="6"/>
  <c r="D13" i="6"/>
  <c r="M13" i="6"/>
  <c r="B75" i="6"/>
  <c r="E13" i="6"/>
  <c r="J13" i="6"/>
  <c r="F13" i="6"/>
  <c r="K13" i="6"/>
  <c r="B35" i="15"/>
  <c r="T13" i="6"/>
  <c r="R13" i="6"/>
  <c r="Y33" i="6"/>
  <c r="H13" i="6"/>
  <c r="X33" i="6"/>
  <c r="L13" i="6"/>
  <c r="N13" i="6"/>
  <c r="D75" i="6"/>
  <c r="W33" i="6"/>
  <c r="E35" i="15"/>
  <c r="C13" i="6"/>
  <c r="P63" i="8"/>
  <c r="B102" i="8"/>
  <c r="BI54" i="8"/>
  <c r="BK54" i="8"/>
  <c r="B92" i="8"/>
  <c r="F63" i="8"/>
  <c r="B97" i="8"/>
  <c r="K63" i="8"/>
  <c r="E11" i="6"/>
  <c r="J11" i="6"/>
  <c r="B73" i="6"/>
  <c r="D11" i="6"/>
  <c r="M11" i="6"/>
  <c r="F11" i="6"/>
  <c r="K11" i="6"/>
  <c r="H11" i="6"/>
  <c r="X31" i="6"/>
  <c r="B33" i="15"/>
  <c r="T11" i="6"/>
  <c r="R11" i="6"/>
  <c r="Y31" i="6"/>
  <c r="L11" i="6"/>
  <c r="N11" i="6"/>
  <c r="D73" i="6"/>
  <c r="E33" i="15"/>
  <c r="W31" i="6"/>
  <c r="C11" i="6"/>
  <c r="D14" i="6"/>
  <c r="M14" i="6"/>
  <c r="B76" i="6"/>
  <c r="F14" i="6"/>
  <c r="K14" i="6"/>
  <c r="E14" i="6"/>
  <c r="J14" i="6"/>
  <c r="Y34" i="6"/>
  <c r="T14" i="6"/>
  <c r="H14" i="6"/>
  <c r="R14" i="6"/>
  <c r="B36" i="15"/>
  <c r="X34" i="6"/>
  <c r="L14" i="6"/>
  <c r="N14" i="6"/>
  <c r="D76" i="6"/>
  <c r="W34" i="6"/>
  <c r="E36" i="15"/>
  <c r="C14" i="6"/>
  <c r="D17" i="6"/>
  <c r="M17" i="6"/>
  <c r="B79" i="6"/>
  <c r="E17" i="6"/>
  <c r="J17" i="6"/>
  <c r="F17" i="6"/>
  <c r="K17" i="6"/>
  <c r="H17" i="6"/>
  <c r="T17" i="6"/>
  <c r="B39" i="15"/>
  <c r="R17" i="6"/>
  <c r="Y37" i="6"/>
  <c r="X37" i="6"/>
  <c r="L17" i="6"/>
  <c r="N17" i="6"/>
  <c r="D79" i="6"/>
  <c r="E39" i="15"/>
  <c r="W37" i="6"/>
  <c r="C17" i="6"/>
  <c r="B66" i="6"/>
  <c r="D4" i="6"/>
  <c r="M4" i="6"/>
  <c r="E4" i="6"/>
  <c r="J4" i="6"/>
  <c r="F4" i="6"/>
  <c r="K4" i="6"/>
  <c r="B26" i="15"/>
  <c r="R4" i="6"/>
  <c r="X24" i="6"/>
  <c r="H4" i="6"/>
  <c r="Y24" i="6"/>
  <c r="T4" i="6"/>
  <c r="L4" i="6"/>
  <c r="BJ54" i="8"/>
  <c r="BL54" i="8"/>
  <c r="M56" i="8"/>
  <c r="M57" i="8"/>
  <c r="I4" i="6"/>
  <c r="D18" i="6"/>
  <c r="M18" i="6"/>
  <c r="B80" i="6"/>
  <c r="F18" i="6"/>
  <c r="K18" i="6"/>
  <c r="E18" i="6"/>
  <c r="J18" i="6"/>
  <c r="H18" i="6"/>
  <c r="X38" i="6"/>
  <c r="B40" i="15"/>
  <c r="R18" i="6"/>
  <c r="Y38" i="6"/>
  <c r="T18" i="6"/>
  <c r="L18" i="6"/>
  <c r="N18" i="6"/>
  <c r="D80" i="6"/>
  <c r="W38" i="6"/>
  <c r="E40" i="15"/>
  <c r="C18" i="6"/>
  <c r="B93" i="8"/>
  <c r="G63" i="8"/>
  <c r="B95" i="8"/>
  <c r="I63" i="8"/>
  <c r="B69" i="6"/>
  <c r="E7" i="6"/>
  <c r="J7" i="6"/>
  <c r="D7" i="6"/>
  <c r="M7" i="6"/>
  <c r="F7" i="6"/>
  <c r="K7" i="6"/>
  <c r="B29" i="15"/>
  <c r="R7" i="6"/>
  <c r="H7" i="6"/>
  <c r="Y27" i="6"/>
  <c r="X27" i="6"/>
  <c r="T7" i="6"/>
  <c r="L7" i="6"/>
  <c r="N7" i="6"/>
  <c r="D69" i="6"/>
  <c r="E29" i="15"/>
  <c r="W27" i="6"/>
  <c r="C7" i="6"/>
  <c r="D16" i="6"/>
  <c r="M16" i="6"/>
  <c r="E16" i="6"/>
  <c r="J16" i="6"/>
  <c r="B78" i="6"/>
  <c r="F16" i="6"/>
  <c r="K16" i="6"/>
  <c r="Y36" i="6"/>
  <c r="X36" i="6"/>
  <c r="H16" i="6"/>
  <c r="T16" i="6"/>
  <c r="B38" i="15"/>
  <c r="R16" i="6"/>
  <c r="L16" i="6"/>
  <c r="N16" i="6"/>
  <c r="D78" i="6"/>
  <c r="E38" i="15"/>
  <c r="W36" i="6"/>
  <c r="C16" i="6"/>
  <c r="H63" i="8"/>
  <c r="B94" i="8"/>
  <c r="B98" i="8"/>
  <c r="L63" i="8"/>
  <c r="BO54" i="8"/>
  <c r="BM54" i="8"/>
  <c r="E8" i="6"/>
  <c r="J8" i="6"/>
  <c r="D8" i="6"/>
  <c r="M8" i="6"/>
  <c r="B70" i="6"/>
  <c r="F8" i="6"/>
  <c r="K8" i="6"/>
  <c r="H8" i="6"/>
  <c r="X28" i="6"/>
  <c r="T8" i="6"/>
  <c r="B30" i="15"/>
  <c r="R8" i="6"/>
  <c r="Y28" i="6"/>
  <c r="L8" i="6"/>
  <c r="N8" i="6"/>
  <c r="D70" i="6"/>
  <c r="E30" i="15"/>
  <c r="W28" i="6"/>
  <c r="C8" i="6"/>
  <c r="E12" i="6"/>
  <c r="J12" i="6"/>
  <c r="D12" i="6"/>
  <c r="M12" i="6"/>
  <c r="F12" i="6"/>
  <c r="K12" i="6"/>
  <c r="B74" i="6"/>
  <c r="B34" i="15"/>
  <c r="R12" i="6"/>
  <c r="Y32" i="6"/>
  <c r="X32" i="6"/>
  <c r="H12" i="6"/>
  <c r="T12" i="6"/>
  <c r="L12" i="6"/>
  <c r="N12" i="6"/>
  <c r="D74" i="6"/>
  <c r="W32" i="6"/>
  <c r="E34" i="15"/>
  <c r="C12" i="6"/>
  <c r="B100" i="8"/>
  <c r="N63" i="8"/>
  <c r="B96" i="8"/>
  <c r="J63" i="8"/>
  <c r="B99" i="8"/>
  <c r="M63" i="8"/>
  <c r="B91" i="8"/>
  <c r="E63" i="8"/>
  <c r="B90" i="8"/>
  <c r="D63" i="8"/>
  <c r="R91" i="8"/>
  <c r="T91" i="8"/>
  <c r="V91" i="8"/>
  <c r="V96" i="8"/>
  <c r="T96" i="8"/>
  <c r="R96" i="8"/>
  <c r="O12" i="6"/>
  <c r="S12" i="6"/>
  <c r="C30" i="15"/>
  <c r="Z28" i="6"/>
  <c r="P8" i="6"/>
  <c r="D30" i="15"/>
  <c r="R98" i="8"/>
  <c r="V98" i="8"/>
  <c r="T98" i="8"/>
  <c r="F69" i="6"/>
  <c r="I69" i="6"/>
  <c r="R69" i="6"/>
  <c r="S69" i="6"/>
  <c r="C69" i="6"/>
  <c r="T69" i="6"/>
  <c r="K69" i="6"/>
  <c r="J69" i="6"/>
  <c r="V93" i="8"/>
  <c r="R93" i="8"/>
  <c r="T93" i="8"/>
  <c r="N4" i="6"/>
  <c r="D66" i="6"/>
  <c r="D81" i="6"/>
  <c r="W24" i="6"/>
  <c r="E26" i="15"/>
  <c r="C4" i="6"/>
  <c r="R19" i="6"/>
  <c r="O4" i="6"/>
  <c r="S4" i="6"/>
  <c r="M19" i="6"/>
  <c r="Z37" i="6"/>
  <c r="C39" i="15"/>
  <c r="P17" i="6"/>
  <c r="D39" i="15"/>
  <c r="O17" i="6"/>
  <c r="S17" i="6"/>
  <c r="O11" i="6"/>
  <c r="S11" i="6"/>
  <c r="R97" i="8"/>
  <c r="V97" i="8"/>
  <c r="T97" i="8"/>
  <c r="I56" i="8"/>
  <c r="BL55" i="8"/>
  <c r="I57" i="8"/>
  <c r="F75" i="6"/>
  <c r="J75" i="6"/>
  <c r="S75" i="6"/>
  <c r="I75" i="6"/>
  <c r="R75" i="6"/>
  <c r="K75" i="6"/>
  <c r="C75" i="6"/>
  <c r="T75" i="6"/>
  <c r="F67" i="6"/>
  <c r="C67" i="6"/>
  <c r="S67" i="6"/>
  <c r="J67" i="6"/>
  <c r="T67" i="6"/>
  <c r="I67" i="6"/>
  <c r="R67" i="6"/>
  <c r="K67" i="6"/>
  <c r="O15" i="6"/>
  <c r="S15" i="6"/>
  <c r="R101" i="8"/>
  <c r="V101" i="8"/>
  <c r="T101" i="8"/>
  <c r="R103" i="8"/>
  <c r="V103" i="8"/>
  <c r="T103" i="8"/>
  <c r="T89" i="8"/>
  <c r="R89" i="8"/>
  <c r="V89" i="8"/>
  <c r="C34" i="15"/>
  <c r="Z32" i="6"/>
  <c r="P12" i="6"/>
  <c r="D34" i="15"/>
  <c r="R94" i="8"/>
  <c r="V94" i="8"/>
  <c r="T94" i="8"/>
  <c r="O16" i="6"/>
  <c r="S16" i="6"/>
  <c r="F66" i="6"/>
  <c r="C66" i="6"/>
  <c r="K66" i="6"/>
  <c r="J66" i="6"/>
  <c r="I66" i="6"/>
  <c r="S66" i="6"/>
  <c r="T66" i="6"/>
  <c r="C36" i="15"/>
  <c r="Z34" i="6"/>
  <c r="P14" i="6"/>
  <c r="D36" i="15"/>
  <c r="F73" i="6"/>
  <c r="K73" i="6"/>
  <c r="T73" i="6"/>
  <c r="J73" i="6"/>
  <c r="S73" i="6"/>
  <c r="I73" i="6"/>
  <c r="R73" i="6"/>
  <c r="C73" i="6"/>
  <c r="T102" i="8"/>
  <c r="R102" i="8"/>
  <c r="V102" i="8"/>
  <c r="Z33" i="6"/>
  <c r="C35" i="15"/>
  <c r="P13" i="6"/>
  <c r="D35" i="15"/>
  <c r="O13" i="6"/>
  <c r="S13" i="6"/>
  <c r="Z25" i="6"/>
  <c r="C27" i="15"/>
  <c r="P5" i="6"/>
  <c r="D27" i="15"/>
  <c r="P15" i="6"/>
  <c r="D37" i="15"/>
  <c r="Z35" i="6"/>
  <c r="C37" i="15"/>
  <c r="C32" i="15"/>
  <c r="Z30" i="6"/>
  <c r="P10" i="6"/>
  <c r="D32" i="15"/>
  <c r="R90" i="8"/>
  <c r="T90" i="8"/>
  <c r="V90" i="8"/>
  <c r="V100" i="8"/>
  <c r="T100" i="8"/>
  <c r="R100" i="8"/>
  <c r="Z27" i="6"/>
  <c r="C29" i="15"/>
  <c r="P7" i="6"/>
  <c r="D29" i="15"/>
  <c r="O7" i="6"/>
  <c r="S7" i="6"/>
  <c r="V95" i="8"/>
  <c r="T95" i="8"/>
  <c r="R95" i="8"/>
  <c r="F80" i="6"/>
  <c r="J80" i="6"/>
  <c r="S80" i="6"/>
  <c r="I80" i="6"/>
  <c r="R80" i="6"/>
  <c r="K80" i="6"/>
  <c r="C80" i="6"/>
  <c r="T80" i="6"/>
  <c r="Z24" i="6"/>
  <c r="C26" i="15"/>
  <c r="P4" i="6"/>
  <c r="D26" i="15"/>
  <c r="K19" i="6"/>
  <c r="F76" i="6"/>
  <c r="I76" i="6"/>
  <c r="R76" i="6"/>
  <c r="K76" i="6"/>
  <c r="C76" i="6"/>
  <c r="T76" i="6"/>
  <c r="J76" i="6"/>
  <c r="S76" i="6"/>
  <c r="P11" i="6"/>
  <c r="D33" i="15"/>
  <c r="Z31" i="6"/>
  <c r="C33" i="15"/>
  <c r="T92" i="8"/>
  <c r="R92" i="8"/>
  <c r="V92" i="8"/>
  <c r="O5" i="6"/>
  <c r="S5" i="6"/>
  <c r="O6" i="6"/>
  <c r="S6" i="6"/>
  <c r="F77" i="6"/>
  <c r="K77" i="6"/>
  <c r="T77" i="6"/>
  <c r="J77" i="6"/>
  <c r="S77" i="6"/>
  <c r="I77" i="6"/>
  <c r="R77" i="6"/>
  <c r="C77" i="6"/>
  <c r="F72" i="6"/>
  <c r="I72" i="6"/>
  <c r="R72" i="6"/>
  <c r="K72" i="6"/>
  <c r="C72" i="6"/>
  <c r="T72" i="6"/>
  <c r="J72" i="6"/>
  <c r="S72" i="6"/>
  <c r="O9" i="6"/>
  <c r="S9" i="6"/>
  <c r="R99" i="8"/>
  <c r="V99" i="8"/>
  <c r="T99" i="8"/>
  <c r="F74" i="6"/>
  <c r="T74" i="6"/>
  <c r="J74" i="6"/>
  <c r="S74" i="6"/>
  <c r="I74" i="6"/>
  <c r="R74" i="6"/>
  <c r="K74" i="6"/>
  <c r="C74" i="6"/>
  <c r="F70" i="6"/>
  <c r="C70" i="6"/>
  <c r="K70" i="6"/>
  <c r="J70" i="6"/>
  <c r="T70" i="6"/>
  <c r="I70" i="6"/>
  <c r="R70" i="6"/>
  <c r="S70" i="6"/>
  <c r="O8" i="6"/>
  <c r="S8" i="6"/>
  <c r="P16" i="6"/>
  <c r="D38" i="15"/>
  <c r="C38" i="15"/>
  <c r="Z36" i="6"/>
  <c r="F78" i="6"/>
  <c r="C78" i="6"/>
  <c r="T78" i="6"/>
  <c r="J78" i="6"/>
  <c r="S78" i="6"/>
  <c r="I78" i="6"/>
  <c r="R78" i="6"/>
  <c r="K78" i="6"/>
  <c r="P18" i="6"/>
  <c r="D40" i="15"/>
  <c r="C40" i="15"/>
  <c r="Z38" i="6"/>
  <c r="O18" i="6"/>
  <c r="S18" i="6"/>
  <c r="F79" i="6"/>
  <c r="T79" i="6"/>
  <c r="J79" i="6"/>
  <c r="S79" i="6"/>
  <c r="I79" i="6"/>
  <c r="R79" i="6"/>
  <c r="K79" i="6"/>
  <c r="C79" i="6"/>
  <c r="O14" i="6"/>
  <c r="S14" i="6"/>
  <c r="C28" i="15"/>
  <c r="Z26" i="6"/>
  <c r="P6" i="6"/>
  <c r="D28" i="15"/>
  <c r="F68" i="6"/>
  <c r="I68" i="6"/>
  <c r="R68" i="6"/>
  <c r="T68" i="6"/>
  <c r="K68" i="6"/>
  <c r="C68" i="6"/>
  <c r="J68" i="6"/>
  <c r="S68" i="6"/>
  <c r="O10" i="6"/>
  <c r="S10" i="6"/>
  <c r="C31" i="15"/>
  <c r="P9" i="6"/>
  <c r="D31" i="15"/>
  <c r="Z29" i="6"/>
  <c r="F71" i="6"/>
  <c r="I71" i="6"/>
  <c r="R71" i="6"/>
  <c r="K71" i="6"/>
  <c r="C71" i="6"/>
  <c r="T71" i="6"/>
  <c r="J71" i="6"/>
  <c r="S71" i="6"/>
  <c r="T104" i="8"/>
  <c r="T108" i="8"/>
  <c r="AA19" i="6"/>
  <c r="I81" i="6"/>
  <c r="R81" i="6"/>
  <c r="R66" i="6"/>
  <c r="F81" i="6"/>
  <c r="J81" i="6"/>
  <c r="V104" i="8"/>
  <c r="O19" i="6"/>
  <c r="AA11" i="6"/>
  <c r="E8" i="5"/>
  <c r="G8" i="5"/>
  <c r="F8" i="5"/>
  <c r="R104" i="8"/>
  <c r="T32" i="6"/>
  <c r="T34" i="6"/>
  <c r="S32" i="6"/>
  <c r="S34" i="6"/>
  <c r="AA9" i="6"/>
  <c r="AA16" i="6"/>
  <c r="L32" i="6"/>
  <c r="AA17" i="6"/>
  <c r="K32" i="6"/>
  <c r="AA8" i="6"/>
  <c r="AA13" i="6"/>
  <c r="AA10" i="6"/>
  <c r="AA18" i="6"/>
  <c r="AA12" i="6"/>
  <c r="J32" i="6"/>
  <c r="E9" i="5"/>
  <c r="E113" i="5"/>
  <c r="N9" i="12"/>
  <c r="T81" i="6"/>
  <c r="S81" i="6"/>
  <c r="F9" i="5"/>
  <c r="N9" i="13"/>
  <c r="N9" i="14"/>
  <c r="G9" i="5"/>
  <c r="G113" i="5"/>
  <c r="M106" i="8"/>
  <c r="AM106" i="8"/>
  <c r="I106" i="8"/>
  <c r="AI106" i="8"/>
  <c r="D106" i="8"/>
  <c r="AD106" i="8"/>
  <c r="C106" i="8"/>
  <c r="AC106" i="8"/>
  <c r="H106" i="8"/>
  <c r="AH106" i="8"/>
  <c r="K106" i="8"/>
  <c r="AK106" i="8"/>
  <c r="AB90" i="8"/>
  <c r="AB92" i="8"/>
  <c r="L106" i="8"/>
  <c r="AL106" i="8"/>
  <c r="J106" i="8"/>
  <c r="AJ106" i="8"/>
  <c r="P106" i="8"/>
  <c r="AP106" i="8"/>
  <c r="G106" i="8"/>
  <c r="AG106" i="8"/>
  <c r="O106" i="8"/>
  <c r="AO106" i="8"/>
  <c r="N106" i="8"/>
  <c r="AN106" i="8"/>
  <c r="F106" i="8"/>
  <c r="AF106" i="8"/>
  <c r="E106" i="8"/>
  <c r="AE106" i="8"/>
  <c r="Q106" i="8"/>
  <c r="AQ106" i="8"/>
  <c r="AA20" i="6"/>
  <c r="C9" i="14"/>
  <c r="C41" i="14"/>
  <c r="G9" i="14"/>
  <c r="H9" i="14"/>
  <c r="H41" i="14"/>
  <c r="L9" i="14"/>
  <c r="L41" i="14"/>
  <c r="D9" i="14"/>
  <c r="D41" i="14"/>
  <c r="I9" i="14"/>
  <c r="I41" i="14"/>
  <c r="M9" i="14"/>
  <c r="B9" i="14"/>
  <c r="B41" i="14"/>
  <c r="E9" i="14"/>
  <c r="E41" i="14"/>
  <c r="J9" i="14"/>
  <c r="J41" i="14"/>
  <c r="F9" i="14"/>
  <c r="F41" i="14"/>
  <c r="K9" i="14"/>
  <c r="K41" i="14"/>
  <c r="K81" i="6"/>
  <c r="C40" i="6"/>
  <c r="C39" i="6"/>
  <c r="B9" i="13"/>
  <c r="B41" i="13"/>
  <c r="E9" i="13"/>
  <c r="E41" i="13"/>
  <c r="H9" i="13"/>
  <c r="H41" i="13"/>
  <c r="L9" i="13"/>
  <c r="L41" i="13"/>
  <c r="F9" i="13"/>
  <c r="F41" i="13"/>
  <c r="I9" i="13"/>
  <c r="I41" i="13"/>
  <c r="M9" i="13"/>
  <c r="C9" i="13"/>
  <c r="C41" i="13"/>
  <c r="G9" i="13"/>
  <c r="J9" i="13"/>
  <c r="J41" i="13"/>
  <c r="D9" i="13"/>
  <c r="D41" i="13"/>
  <c r="K9" i="13"/>
  <c r="K41" i="13"/>
  <c r="C9" i="12"/>
  <c r="C41" i="12"/>
  <c r="E9" i="12"/>
  <c r="E41" i="12"/>
  <c r="I9" i="12"/>
  <c r="I41" i="12"/>
  <c r="B9" i="12"/>
  <c r="B41" i="12"/>
  <c r="D9" i="12"/>
  <c r="D41" i="12"/>
  <c r="G9" i="12"/>
  <c r="M9" i="12"/>
  <c r="J9" i="12"/>
  <c r="J41" i="12"/>
  <c r="H9" i="12"/>
  <c r="H41" i="12"/>
  <c r="K9" i="12"/>
  <c r="K41" i="12"/>
  <c r="F9" i="12"/>
  <c r="F41" i="12"/>
  <c r="L9" i="12"/>
  <c r="L41" i="12"/>
  <c r="N3" i="13"/>
  <c r="S26" i="6"/>
  <c r="S9" i="3"/>
  <c r="S8" i="3"/>
  <c r="F113" i="5"/>
  <c r="D5" i="3"/>
  <c r="D8" i="3"/>
  <c r="H40" i="6"/>
  <c r="H39" i="6"/>
  <c r="N3" i="12"/>
  <c r="S7" i="3"/>
  <c r="S6" i="3"/>
  <c r="S25" i="6"/>
  <c r="S28" i="6"/>
  <c r="N3" i="14"/>
  <c r="S11" i="3"/>
  <c r="S27" i="6"/>
  <c r="S10" i="3"/>
  <c r="F4" i="14"/>
  <c r="F7" i="14"/>
  <c r="K4" i="14"/>
  <c r="K7" i="14"/>
  <c r="B4" i="14"/>
  <c r="C4" i="14"/>
  <c r="C7" i="14"/>
  <c r="G4" i="14"/>
  <c r="G7" i="14"/>
  <c r="H4" i="14"/>
  <c r="H7" i="14"/>
  <c r="L4" i="14"/>
  <c r="L7" i="14"/>
  <c r="D4" i="14"/>
  <c r="D7" i="14"/>
  <c r="I4" i="14"/>
  <c r="I7" i="14"/>
  <c r="M4" i="14"/>
  <c r="M7" i="14"/>
  <c r="E4" i="14"/>
  <c r="E7" i="14"/>
  <c r="J4" i="14"/>
  <c r="J7" i="14"/>
  <c r="F3" i="14"/>
  <c r="M3" i="14"/>
  <c r="F6" i="16"/>
  <c r="F9" i="16"/>
  <c r="G3" i="14"/>
  <c r="J3" i="14"/>
  <c r="I3" i="14"/>
  <c r="C3" i="14"/>
  <c r="H3" i="14"/>
  <c r="B3" i="14"/>
  <c r="D3" i="14"/>
  <c r="L3" i="14"/>
  <c r="K3" i="14"/>
  <c r="E3" i="14"/>
  <c r="H4" i="12"/>
  <c r="H7" i="12"/>
  <c r="C4" i="12"/>
  <c r="C7" i="12"/>
  <c r="E4" i="12"/>
  <c r="E7" i="12"/>
  <c r="B4" i="12"/>
  <c r="F4" i="12"/>
  <c r="F7" i="12"/>
  <c r="L4" i="12"/>
  <c r="L7" i="12"/>
  <c r="M4" i="12"/>
  <c r="M7" i="12"/>
  <c r="D4" i="12"/>
  <c r="D7" i="12"/>
  <c r="G4" i="12"/>
  <c r="G7" i="12"/>
  <c r="I4" i="12"/>
  <c r="I7" i="12"/>
  <c r="J4" i="12"/>
  <c r="J7" i="12"/>
  <c r="K4" i="12"/>
  <c r="K7" i="12"/>
  <c r="B3" i="12"/>
  <c r="M3" i="12"/>
  <c r="D3" i="12"/>
  <c r="B6" i="16"/>
  <c r="B9" i="16"/>
  <c r="J3" i="12"/>
  <c r="L3" i="12"/>
  <c r="E3" i="12"/>
  <c r="K3" i="12"/>
  <c r="I3" i="12"/>
  <c r="F3" i="12"/>
  <c r="G3" i="12"/>
  <c r="C3" i="12"/>
  <c r="H3" i="12"/>
  <c r="F49" i="13"/>
  <c r="F59" i="13"/>
  <c r="I59" i="13"/>
  <c r="I49" i="13"/>
  <c r="D62" i="13"/>
  <c r="D50" i="13"/>
  <c r="H62" i="13"/>
  <c r="H50" i="13"/>
  <c r="K51" i="13"/>
  <c r="K65" i="13"/>
  <c r="B65" i="13"/>
  <c r="B51" i="13"/>
  <c r="L51" i="13"/>
  <c r="L65" i="13"/>
  <c r="E29" i="4"/>
  <c r="K59" i="13"/>
  <c r="K49" i="13"/>
  <c r="E59" i="13"/>
  <c r="E49" i="13"/>
  <c r="J62" i="13"/>
  <c r="J50" i="13"/>
  <c r="I50" i="13"/>
  <c r="I62" i="13"/>
  <c r="E62" i="13"/>
  <c r="E50" i="13"/>
  <c r="F51" i="13"/>
  <c r="F65" i="13"/>
  <c r="H51" i="13"/>
  <c r="H65" i="13"/>
  <c r="G6" i="3"/>
  <c r="G7" i="3"/>
  <c r="P6" i="3"/>
  <c r="P7" i="3"/>
  <c r="Q6" i="3"/>
  <c r="Q7" i="3"/>
  <c r="O6" i="3"/>
  <c r="O7" i="3"/>
  <c r="R6" i="3"/>
  <c r="R7" i="3"/>
  <c r="K6" i="3"/>
  <c r="K7" i="3"/>
  <c r="I6" i="3"/>
  <c r="I7" i="3"/>
  <c r="L6" i="3"/>
  <c r="L7" i="3"/>
  <c r="N6" i="3"/>
  <c r="N7" i="3"/>
  <c r="H6" i="3"/>
  <c r="H7" i="3"/>
  <c r="J6" i="3"/>
  <c r="J7" i="3"/>
  <c r="M6" i="3"/>
  <c r="M7" i="3"/>
  <c r="D19" i="3"/>
  <c r="D22" i="3"/>
  <c r="E31" i="4"/>
  <c r="E39" i="6"/>
  <c r="E40" i="6"/>
  <c r="B4" i="13"/>
  <c r="D4" i="13"/>
  <c r="D7" i="13"/>
  <c r="K4" i="13"/>
  <c r="K7" i="13"/>
  <c r="E4" i="13"/>
  <c r="E7" i="13"/>
  <c r="H4" i="13"/>
  <c r="H7" i="13"/>
  <c r="L4" i="13"/>
  <c r="L7" i="13"/>
  <c r="F4" i="13"/>
  <c r="F7" i="13"/>
  <c r="I4" i="13"/>
  <c r="I7" i="13"/>
  <c r="M4" i="13"/>
  <c r="M7" i="13"/>
  <c r="C4" i="13"/>
  <c r="C7" i="13"/>
  <c r="G4" i="13"/>
  <c r="G7" i="13"/>
  <c r="J4" i="13"/>
  <c r="J7" i="13"/>
  <c r="H3" i="13"/>
  <c r="C3" i="13"/>
  <c r="D3" i="13"/>
  <c r="M3" i="13"/>
  <c r="L3" i="13"/>
  <c r="D6" i="16"/>
  <c r="D9" i="16"/>
  <c r="J3" i="13"/>
  <c r="K3" i="13"/>
  <c r="I3" i="13"/>
  <c r="G3" i="13"/>
  <c r="F3" i="13"/>
  <c r="B3" i="13"/>
  <c r="E3" i="13"/>
  <c r="H49" i="13"/>
  <c r="H59" i="13"/>
  <c r="D49" i="13"/>
  <c r="D59" i="13"/>
  <c r="C59" i="13"/>
  <c r="C49" i="13"/>
  <c r="F50" i="13"/>
  <c r="F62" i="13"/>
  <c r="B62" i="13"/>
  <c r="B50" i="13"/>
  <c r="J51" i="13"/>
  <c r="J65" i="13"/>
  <c r="I65" i="13"/>
  <c r="I51" i="13"/>
  <c r="L59" i="13"/>
  <c r="L49" i="13"/>
  <c r="J59" i="13"/>
  <c r="J49" i="13"/>
  <c r="B59" i="13"/>
  <c r="B49" i="13"/>
  <c r="K50" i="13"/>
  <c r="K62" i="13"/>
  <c r="C50" i="13"/>
  <c r="C62" i="13"/>
  <c r="L50" i="13"/>
  <c r="L62" i="13"/>
  <c r="E65" i="13"/>
  <c r="E51" i="13"/>
  <c r="D65" i="13"/>
  <c r="D51" i="13"/>
  <c r="C51" i="13"/>
  <c r="C65" i="13"/>
  <c r="M61" i="13"/>
  <c r="M47" i="13"/>
  <c r="H47" i="13"/>
  <c r="H61" i="13"/>
  <c r="B7" i="13"/>
  <c r="N4" i="13"/>
  <c r="H8" i="3"/>
  <c r="H9" i="3"/>
  <c r="K9" i="3"/>
  <c r="K10" i="3"/>
  <c r="K8" i="3"/>
  <c r="P9" i="3"/>
  <c r="P10" i="3"/>
  <c r="P8" i="3"/>
  <c r="I58" i="13"/>
  <c r="I46" i="13"/>
  <c r="L58" i="13"/>
  <c r="L46" i="13"/>
  <c r="C58" i="13"/>
  <c r="C46" i="13"/>
  <c r="J64" i="13"/>
  <c r="J48" i="13"/>
  <c r="D64" i="13"/>
  <c r="D48" i="13"/>
  <c r="C64" i="13"/>
  <c r="C48" i="13"/>
  <c r="J61" i="13"/>
  <c r="J47" i="13"/>
  <c r="I47" i="13"/>
  <c r="I61" i="13"/>
  <c r="E47" i="13"/>
  <c r="E61" i="13"/>
  <c r="N10" i="3"/>
  <c r="N8" i="3"/>
  <c r="N9" i="3"/>
  <c r="R9" i="3"/>
  <c r="H11" i="3"/>
  <c r="R10" i="3"/>
  <c r="R8" i="3"/>
  <c r="H10" i="3"/>
  <c r="G10" i="3"/>
  <c r="G9" i="3"/>
  <c r="G8" i="3"/>
  <c r="G46" i="13"/>
  <c r="G58" i="13"/>
  <c r="F46" i="13"/>
  <c r="F58" i="13"/>
  <c r="H46" i="13"/>
  <c r="H58" i="13"/>
  <c r="F19" i="16"/>
  <c r="E48" i="13"/>
  <c r="E64" i="13"/>
  <c r="L64" i="13"/>
  <c r="L48" i="13"/>
  <c r="B7" i="14"/>
  <c r="N4" i="14"/>
  <c r="G47" i="13"/>
  <c r="G61" i="13"/>
  <c r="F61" i="13"/>
  <c r="F47" i="13"/>
  <c r="K61" i="13"/>
  <c r="K47" i="13"/>
  <c r="M9" i="3"/>
  <c r="M10" i="3"/>
  <c r="M8" i="3"/>
  <c r="L9" i="3"/>
  <c r="L8" i="3"/>
  <c r="L10" i="3"/>
  <c r="O8" i="3"/>
  <c r="O10" i="3"/>
  <c r="O9" i="3"/>
  <c r="E33" i="4"/>
  <c r="B19" i="16"/>
  <c r="K58" i="13"/>
  <c r="K46" i="13"/>
  <c r="D58" i="13"/>
  <c r="D46" i="13"/>
  <c r="B7" i="12"/>
  <c r="N4" i="12"/>
  <c r="M48" i="13"/>
  <c r="M64" i="13"/>
  <c r="H48" i="13"/>
  <c r="H64" i="13"/>
  <c r="K64" i="13"/>
  <c r="K48" i="13"/>
  <c r="D19" i="16"/>
  <c r="C47" i="13"/>
  <c r="C61" i="13"/>
  <c r="L47" i="13"/>
  <c r="L61" i="13"/>
  <c r="D61" i="13"/>
  <c r="D47" i="13"/>
  <c r="J10" i="3"/>
  <c r="J11" i="3"/>
  <c r="J8" i="3"/>
  <c r="J9" i="3"/>
  <c r="I8" i="3"/>
  <c r="I9" i="3"/>
  <c r="I10" i="3"/>
  <c r="Q8" i="3"/>
  <c r="Q11" i="3"/>
  <c r="Q10" i="3"/>
  <c r="Q9" i="3"/>
  <c r="E100" i="5"/>
  <c r="E101" i="5"/>
  <c r="J46" i="13"/>
  <c r="J58" i="13"/>
  <c r="M46" i="13"/>
  <c r="M58" i="13"/>
  <c r="E58" i="13"/>
  <c r="E46" i="13"/>
  <c r="I48" i="13"/>
  <c r="I64" i="13"/>
  <c r="G48" i="13"/>
  <c r="G64" i="13"/>
  <c r="F64" i="13"/>
  <c r="F48" i="13"/>
  <c r="O11" i="3"/>
  <c r="P11" i="3"/>
  <c r="B64" i="13"/>
  <c r="B48" i="13"/>
  <c r="N7" i="14"/>
  <c r="R11" i="3"/>
  <c r="K11" i="3"/>
  <c r="F100" i="5"/>
  <c r="F101" i="5"/>
  <c r="G100" i="5"/>
  <c r="G101" i="5"/>
  <c r="E39" i="4"/>
  <c r="N35" i="12"/>
  <c r="E114" i="5"/>
  <c r="N41" i="12"/>
  <c r="I11" i="3"/>
  <c r="B42" i="12"/>
  <c r="B46" i="13"/>
  <c r="N7" i="12"/>
  <c r="B58" i="13"/>
  <c r="M11" i="3"/>
  <c r="G11" i="3"/>
  <c r="N11" i="3"/>
  <c r="L11" i="3"/>
  <c r="N7" i="13"/>
  <c r="B61" i="13"/>
  <c r="B47" i="13"/>
  <c r="N35" i="13"/>
  <c r="F114" i="5"/>
  <c r="N41" i="13"/>
  <c r="C42" i="12"/>
  <c r="B47" i="12"/>
  <c r="B60" i="13"/>
  <c r="B52" i="13"/>
  <c r="G35" i="12"/>
  <c r="G41" i="12"/>
  <c r="M35" i="12"/>
  <c r="M41" i="12"/>
  <c r="E40" i="4"/>
  <c r="E41" i="4"/>
  <c r="E51" i="4"/>
  <c r="D13" i="16"/>
  <c r="D18" i="16"/>
  <c r="D27" i="16"/>
  <c r="B13" i="16"/>
  <c r="B18" i="16"/>
  <c r="B27" i="16"/>
  <c r="N35" i="14"/>
  <c r="G114" i="5"/>
  <c r="N41" i="14"/>
  <c r="F13" i="16"/>
  <c r="F18" i="16"/>
  <c r="F27" i="16"/>
  <c r="G49" i="13"/>
  <c r="G59" i="13"/>
  <c r="D42" i="12"/>
  <c r="C47" i="12"/>
  <c r="C60" i="13"/>
  <c r="C52" i="13"/>
  <c r="M35" i="14"/>
  <c r="M41" i="14"/>
  <c r="G35" i="14"/>
  <c r="G41" i="14"/>
  <c r="B34" i="16"/>
  <c r="B37" i="16"/>
  <c r="B31" i="16"/>
  <c r="F34" i="16"/>
  <c r="F37" i="16"/>
  <c r="F31" i="16"/>
  <c r="D34" i="16"/>
  <c r="D37" i="16"/>
  <c r="D31" i="16"/>
  <c r="M49" i="13"/>
  <c r="M59" i="13"/>
  <c r="M35" i="13"/>
  <c r="M41" i="13"/>
  <c r="G35" i="13"/>
  <c r="G41" i="13"/>
  <c r="G65" i="13"/>
  <c r="G51" i="13"/>
  <c r="M65" i="13"/>
  <c r="M51" i="13"/>
  <c r="E42" i="12"/>
  <c r="D47" i="12"/>
  <c r="D52" i="13"/>
  <c r="D60" i="13"/>
  <c r="G50" i="13"/>
  <c r="G62" i="13"/>
  <c r="M62" i="13"/>
  <c r="M50" i="13"/>
  <c r="F42" i="12"/>
  <c r="E47" i="12"/>
  <c r="E52" i="13"/>
  <c r="E60" i="13"/>
  <c r="G42" i="12"/>
  <c r="F47" i="12"/>
  <c r="F52" i="13"/>
  <c r="F60" i="13"/>
  <c r="H42" i="12"/>
  <c r="G47" i="12"/>
  <c r="G52" i="13"/>
  <c r="G60" i="13"/>
  <c r="I42" i="12"/>
  <c r="H47" i="12"/>
  <c r="H52" i="13"/>
  <c r="H60" i="13"/>
  <c r="J42" i="12"/>
  <c r="I47" i="12"/>
  <c r="I52" i="13"/>
  <c r="I60" i="13"/>
  <c r="K42" i="12"/>
  <c r="J60" i="13"/>
  <c r="J47" i="12"/>
  <c r="J52" i="13"/>
  <c r="L42" i="12"/>
  <c r="K52" i="13"/>
  <c r="K47" i="12"/>
  <c r="K60" i="13"/>
  <c r="M42" i="12"/>
  <c r="L60" i="13"/>
  <c r="L52" i="13"/>
  <c r="L47" i="12"/>
  <c r="L35" i="6"/>
  <c r="B42" i="13"/>
  <c r="M47" i="12"/>
  <c r="M52" i="13"/>
  <c r="M60" i="13"/>
  <c r="B14" i="16"/>
  <c r="C42" i="13"/>
  <c r="B53" i="13"/>
  <c r="B48" i="12"/>
  <c r="B63" i="13"/>
  <c r="D42" i="13"/>
  <c r="C48" i="12"/>
  <c r="C53" i="13"/>
  <c r="C63" i="13"/>
  <c r="E42" i="13"/>
  <c r="D48" i="12"/>
  <c r="D53" i="13"/>
  <c r="D63" i="13"/>
  <c r="F42" i="13"/>
  <c r="E53" i="13"/>
  <c r="E63" i="13"/>
  <c r="E48" i="12"/>
  <c r="G42" i="13"/>
  <c r="F63" i="13"/>
  <c r="F48" i="12"/>
  <c r="F53" i="13"/>
  <c r="H42" i="13"/>
  <c r="G63" i="13"/>
  <c r="G48" i="12"/>
  <c r="G53" i="13"/>
  <c r="I42" i="13"/>
  <c r="H63" i="13"/>
  <c r="H53" i="13"/>
  <c r="H48" i="12"/>
  <c r="J42" i="13"/>
  <c r="I63" i="13"/>
  <c r="I53" i="13"/>
  <c r="I48" i="12"/>
  <c r="K42" i="13"/>
  <c r="J53" i="13"/>
  <c r="J48" i="12"/>
  <c r="J63" i="13"/>
  <c r="L42" i="13"/>
  <c r="K63" i="13"/>
  <c r="K53" i="13"/>
  <c r="K48" i="12"/>
  <c r="M42" i="13"/>
  <c r="L48" i="12"/>
  <c r="L63" i="13"/>
  <c r="L53" i="13"/>
  <c r="B42" i="14"/>
  <c r="K35" i="6"/>
  <c r="D14" i="16"/>
  <c r="M53" i="13"/>
  <c r="M63" i="13"/>
  <c r="M48" i="12"/>
  <c r="C42" i="14"/>
  <c r="B66" i="13"/>
  <c r="B49" i="12"/>
  <c r="B54" i="13"/>
  <c r="D42" i="14"/>
  <c r="C49" i="12"/>
  <c r="C54" i="13"/>
  <c r="C66" i="13"/>
  <c r="E42" i="14"/>
  <c r="D66" i="13"/>
  <c r="D54" i="13"/>
  <c r="D49" i="12"/>
  <c r="F42" i="14"/>
  <c r="E49" i="12"/>
  <c r="E66" i="13"/>
  <c r="E54" i="13"/>
  <c r="G42" i="14"/>
  <c r="F49" i="12"/>
  <c r="F54" i="13"/>
  <c r="F66" i="13"/>
  <c r="H42" i="14"/>
  <c r="G66" i="13"/>
  <c r="G54" i="13"/>
  <c r="G49" i="12"/>
  <c r="I42" i="14"/>
  <c r="H54" i="13"/>
  <c r="H66" i="13"/>
  <c r="H49" i="12"/>
  <c r="J42" i="14"/>
  <c r="I66" i="13"/>
  <c r="I49" i="12"/>
  <c r="I54" i="13"/>
  <c r="K42" i="14"/>
  <c r="J66" i="13"/>
  <c r="J49" i="12"/>
  <c r="J54" i="13"/>
  <c r="L42" i="14"/>
  <c r="K49" i="12"/>
  <c r="K54" i="13"/>
  <c r="K66" i="13"/>
  <c r="M42" i="14"/>
  <c r="L54" i="13"/>
  <c r="L49" i="12"/>
  <c r="L66" i="13"/>
  <c r="J35" i="6"/>
  <c r="M54" i="13"/>
  <c r="M49" i="12"/>
  <c r="M66" i="13"/>
  <c r="F14" i="16"/>
</calcChain>
</file>

<file path=xl/sharedStrings.xml><?xml version="1.0" encoding="utf-8"?>
<sst xmlns="http://schemas.openxmlformats.org/spreadsheetml/2006/main" count="1076" uniqueCount="517">
  <si>
    <t>Prestazioni del fondatore</t>
  </si>
  <si>
    <t>Importo</t>
  </si>
  <si>
    <t>TOTALE</t>
  </si>
  <si>
    <t>Consulenza (avvocato, fiduciario, consulente aziendale, ecc.)</t>
  </si>
  <si>
    <t>Tasse (Registro commercio, costi cessione ecc.)</t>
  </si>
  <si>
    <t>Ricerche di mercato (studi, progetti, ricerche personali, ecc.</t>
  </si>
  <si>
    <t>Ricerche clienti e fornitori (viaggi, vitto, pernottamenti, ecc.)</t>
  </si>
  <si>
    <t>Ricerca del personale ( annunci giornale, ecc.)</t>
  </si>
  <si>
    <t>Costi amministrativi (Telefonate, spese postali, costi per fotocopie, ecc.)</t>
  </si>
  <si>
    <t>Marketing ( pubblicità, inserzioni, carte visita, logo, prospetti, ecc.)</t>
  </si>
  <si>
    <t>Diversi (indicazioni per spese sopra non contemplate)</t>
  </si>
  <si>
    <t>Dettagli riguardanti il capitale per l'attivo fisso</t>
  </si>
  <si>
    <t>Terreno</t>
  </si>
  <si>
    <t>Immobile</t>
  </si>
  <si>
    <t>Riparazioni, ricostruzioni (Officina, negozio, magazzini, ecc.)</t>
  </si>
  <si>
    <t>Installazioni ( telefono, fax, computer, ecc. )</t>
  </si>
  <si>
    <t>Arredamento, mobilio</t>
  </si>
  <si>
    <t>Macchinari, apparecchiature tecniche</t>
  </si>
  <si>
    <t>Veicoli (furgoni, auto, veicoli speciali, ecc.)</t>
  </si>
  <si>
    <t>Cauzioni</t>
  </si>
  <si>
    <t>Impostazione dell'incasso in tesoreria (dati per il programma)</t>
  </si>
  <si>
    <t>Capitale necessario stoccaggio materie prime o merci fino momento lavorazione</t>
  </si>
  <si>
    <t>Valore delle materie prime e merci necessarie all'anno (Da costo merci)</t>
  </si>
  <si>
    <t>Permanenza in magazzino (media)</t>
  </si>
  <si>
    <t>Giorni</t>
  </si>
  <si>
    <t>Capitale necessario stoccaggio merce pronta alla vendita</t>
  </si>
  <si>
    <t>Materiale a magazzino base</t>
  </si>
  <si>
    <t>Valore</t>
  </si>
  <si>
    <t>Capitale necessario copertura costi d'esercizio (produzione)</t>
  </si>
  <si>
    <t>Costi medi d'esercizio di un anno (Totale costi d'esercizio media 3 anni)</t>
  </si>
  <si>
    <t>Durata media della produzione</t>
  </si>
  <si>
    <t>Capitale necessario finanziamento merce o servizi fino al pagamento dei clienti</t>
  </si>
  <si>
    <t>Cifra d'affari prevista  (Totale cifra d'affari media 3 anni)</t>
  </si>
  <si>
    <t>Vendita in contanti                                                       indicare la percentuale</t>
  </si>
  <si>
    <t>Giorni tra consegna merce e emissione fattura</t>
  </si>
  <si>
    <t>Giorni tra emissione fattura e pagamento del cliente</t>
  </si>
  <si>
    <t>Incasso</t>
  </si>
  <si>
    <t>2° anno</t>
  </si>
  <si>
    <t>3° anno</t>
  </si>
  <si>
    <t>Piano delle necessità finanziarie</t>
  </si>
  <si>
    <t>A</t>
  </si>
  <si>
    <t>Capitale per la fondazione</t>
  </si>
  <si>
    <t>B</t>
  </si>
  <si>
    <t>Capitale per l'attivo fisso</t>
  </si>
  <si>
    <t>Diversi (Tasse per franchise, Goodwill ( valori di acquisto)</t>
  </si>
  <si>
    <t>C</t>
  </si>
  <si>
    <t>Capitale per l'attivo circolante</t>
  </si>
  <si>
    <t>D</t>
  </si>
  <si>
    <t>Totale capitale necessario</t>
  </si>
  <si>
    <t>a</t>
  </si>
  <si>
    <t>b</t>
  </si>
  <si>
    <t>c</t>
  </si>
  <si>
    <t>d</t>
  </si>
  <si>
    <t>Sicurezza del                                                                                                             %</t>
  </si>
  <si>
    <t>E</t>
  </si>
  <si>
    <t>Finanziamento</t>
  </si>
  <si>
    <t>Leasing</t>
  </si>
  <si>
    <t>Capitale sociale</t>
  </si>
  <si>
    <t>no</t>
  </si>
  <si>
    <t>e</t>
  </si>
  <si>
    <t>Correntisti</t>
  </si>
  <si>
    <t>f</t>
  </si>
  <si>
    <t>Altro</t>
  </si>
  <si>
    <t>TOTALE FINANZIAMENTO</t>
  </si>
  <si>
    <t>COSTI</t>
  </si>
  <si>
    <t>1° Anno</t>
  </si>
  <si>
    <t>2° Anno</t>
  </si>
  <si>
    <t>3° Anno</t>
  </si>
  <si>
    <t>Costi merce</t>
  </si>
  <si>
    <t>Materie prime</t>
  </si>
  <si>
    <t>Acquisto merce per rivendita</t>
  </si>
  <si>
    <t>Ricambi</t>
  </si>
  <si>
    <t>Diversi (trasporti altri)</t>
  </si>
  <si>
    <t>Materiale di uso da calcolazione prezzi</t>
  </si>
  <si>
    <t>Stipendio titolare</t>
  </si>
  <si>
    <t>Stipendi sottoposti al 2° pilastro</t>
  </si>
  <si>
    <t>Stipendi non sottoposti al 2° pilastro</t>
  </si>
  <si>
    <t>Provvigioni</t>
  </si>
  <si>
    <t>Assicurazioni sociali per il personale</t>
  </si>
  <si>
    <t>in %</t>
  </si>
  <si>
    <t xml:space="preserve">AVS/AI/IPG                                                               </t>
  </si>
  <si>
    <t xml:space="preserve">Spese Amministrative                                              </t>
  </si>
  <si>
    <t xml:space="preserve">Assicurazione Disoccupazione                             </t>
  </si>
  <si>
    <t xml:space="preserve">2° Pilastro                                                                 </t>
  </si>
  <si>
    <t xml:space="preserve">Infortuni professionali                                             </t>
  </si>
  <si>
    <t xml:space="preserve">Perdita salario per malattia                                     </t>
  </si>
  <si>
    <t xml:space="preserve">Contributi cassa assegni Familiari                         </t>
  </si>
  <si>
    <t>Affitti locali</t>
  </si>
  <si>
    <t>Ufficio</t>
  </si>
  <si>
    <t>Laboratorio/negozio</t>
  </si>
  <si>
    <t>Diversi</t>
  </si>
  <si>
    <t>Manutenzioni riparazioni</t>
  </si>
  <si>
    <t>Locali</t>
  </si>
  <si>
    <t>Attrezzi</t>
  </si>
  <si>
    <t>Attrezzatura</t>
  </si>
  <si>
    <t>Costi veicoli</t>
  </si>
  <si>
    <t>Riparazione e servizi</t>
  </si>
  <si>
    <t>Carburanti</t>
  </si>
  <si>
    <t>Assicurazioni</t>
  </si>
  <si>
    <t>Tasse circolazione</t>
  </si>
  <si>
    <t>Multe</t>
  </si>
  <si>
    <t>Garage</t>
  </si>
  <si>
    <t>Assicurazioni di cose</t>
  </si>
  <si>
    <t>Danni, rottura vetri, furto</t>
  </si>
  <si>
    <t>RC</t>
  </si>
  <si>
    <t>Interruzione esercizio</t>
  </si>
  <si>
    <t>Tasse, permessi</t>
  </si>
  <si>
    <t>Tasse in generale</t>
  </si>
  <si>
    <t>Permessi di lavoro e tasse personale</t>
  </si>
  <si>
    <t>Energia, acqua, rifiuti</t>
  </si>
  <si>
    <t>Elettricità</t>
  </si>
  <si>
    <t>Olio di riscaldamento o gas</t>
  </si>
  <si>
    <t>Acqua</t>
  </si>
  <si>
    <t>Smaltimento rifiuti</t>
  </si>
  <si>
    <t>Ufficio e amministrazione</t>
  </si>
  <si>
    <t>Materiale d'ufficio cancelleria</t>
  </si>
  <si>
    <t>Stampanti e fotocopiatrici</t>
  </si>
  <si>
    <t>Telefono, fax, E-Mail</t>
  </si>
  <si>
    <t>Porti</t>
  </si>
  <si>
    <t xml:space="preserve">Diversi costi </t>
  </si>
  <si>
    <t>Tenuta contabilità</t>
  </si>
  <si>
    <t>Costi pubblicitari</t>
  </si>
  <si>
    <t>Inserzioni</t>
  </si>
  <si>
    <t>Stampati</t>
  </si>
  <si>
    <t>Fiere</t>
  </si>
  <si>
    <t>Regalie</t>
  </si>
  <si>
    <t>Pubbliche relazioni</t>
  </si>
  <si>
    <t>Costi finanziari</t>
  </si>
  <si>
    <t>Gestione CCP</t>
  </si>
  <si>
    <t>Gestione Conto bancario</t>
  </si>
  <si>
    <t>Costi finanzamento d'esercizio</t>
  </si>
  <si>
    <t>Costi finanziamento d'esercizio                               %</t>
  </si>
  <si>
    <t>Ammortamenti</t>
  </si>
  <si>
    <t>Installazioni, riparazioni</t>
  </si>
  <si>
    <t>Arredamento</t>
  </si>
  <si>
    <t xml:space="preserve">Veicoli </t>
  </si>
  <si>
    <t>Attrezzature</t>
  </si>
  <si>
    <t xml:space="preserve">Fondazione </t>
  </si>
  <si>
    <t>TOTALE DEI COSTI</t>
  </si>
  <si>
    <t>TOTALE senza interessi d'esercizio</t>
  </si>
  <si>
    <t>Totali senza materiale materie prime</t>
  </si>
  <si>
    <t>CALCOLO PREZZI</t>
  </si>
  <si>
    <t>Se %V =100% calcolo in base ai prezzi base. Se %V diverso calcolo in base alla % vendita</t>
  </si>
  <si>
    <t>Quantità</t>
  </si>
  <si>
    <t>Pos.</t>
  </si>
  <si>
    <t>Oggetto/Marca</t>
  </si>
  <si>
    <t>Prez.Ven.Medio</t>
  </si>
  <si>
    <t>Unità</t>
  </si>
  <si>
    <t>Tempo</t>
  </si>
  <si>
    <t>Materiale</t>
  </si>
  <si>
    <t>Pre.</t>
  </si>
  <si>
    <t>Cor.</t>
  </si>
  <si>
    <t>Costo</t>
  </si>
  <si>
    <t>Fatt. Mese</t>
  </si>
  <si>
    <t>Prod.Anno</t>
  </si>
  <si>
    <t>Fatturato</t>
  </si>
  <si>
    <t>% V</t>
  </si>
  <si>
    <t>COMMERCIO</t>
  </si>
  <si>
    <t>PRODUZIONE</t>
  </si>
  <si>
    <t>Commercio:</t>
  </si>
  <si>
    <t>1°</t>
  </si>
  <si>
    <t>2°</t>
  </si>
  <si>
    <t>3°</t>
  </si>
  <si>
    <t>Produzione:</t>
  </si>
  <si>
    <t>Ore giorno in sequenza per giorni</t>
  </si>
  <si>
    <t>Mese     ore</t>
  </si>
  <si>
    <t>Totale anno</t>
  </si>
  <si>
    <t>PV/A</t>
  </si>
  <si>
    <t>Ore produttive impianto</t>
  </si>
  <si>
    <t>Impostazione delle ore lavorative</t>
  </si>
  <si>
    <t>Capacità produttiva</t>
  </si>
  <si>
    <t>Ore in base al lavoro</t>
  </si>
  <si>
    <t>Ore giorno</t>
  </si>
  <si>
    <t>Numero articoli vendere al mese</t>
  </si>
  <si>
    <t>Ore previste anno</t>
  </si>
  <si>
    <t>Giorni settima</t>
  </si>
  <si>
    <t>Art</t>
  </si>
  <si>
    <t>Prop</t>
  </si>
  <si>
    <t>Imposta % delle ore</t>
  </si>
  <si>
    <t>%previsto</t>
  </si>
  <si>
    <t>Settimane</t>
  </si>
  <si>
    <t>% delle ore impianto</t>
  </si>
  <si>
    <t>Mesi Lavo.</t>
  </si>
  <si>
    <t>% produzione/vendita</t>
  </si>
  <si>
    <t>N. Dipendenti</t>
  </si>
  <si>
    <t>Giorni anno</t>
  </si>
  <si>
    <t>Ore anno</t>
  </si>
  <si>
    <t>CONTROLLO DEL COSTO ORARIO</t>
  </si>
  <si>
    <t xml:space="preserve"> SI/NO</t>
  </si>
  <si>
    <t>Imposta prezzo ora</t>
  </si>
  <si>
    <t>Descrizione</t>
  </si>
  <si>
    <t>Ore</t>
  </si>
  <si>
    <t>Prezzo/ora</t>
  </si>
  <si>
    <t>Costo orario</t>
  </si>
  <si>
    <t>Marg.lordo</t>
  </si>
  <si>
    <t>Solo Lavoro</t>
  </si>
  <si>
    <t>1° anno</t>
  </si>
  <si>
    <t>Lavoro e materiale</t>
  </si>
  <si>
    <t>Costo solo lavoro</t>
  </si>
  <si>
    <t>Solo lavoro</t>
  </si>
  <si>
    <t>Cella in bianco =100%</t>
  </si>
  <si>
    <t>% prod. annua</t>
  </si>
  <si>
    <t xml:space="preserve">Perdite/utili </t>
  </si>
  <si>
    <t>Costo attività</t>
  </si>
  <si>
    <t>Costo lavoro mese</t>
  </si>
  <si>
    <t>Costo attività mese</t>
  </si>
  <si>
    <t>%</t>
  </si>
  <si>
    <t>Prodotto combinato</t>
  </si>
  <si>
    <t>Incremento</t>
  </si>
  <si>
    <t>CALCOLO LISTINO PREZZI</t>
  </si>
  <si>
    <t>Famiglie</t>
  </si>
  <si>
    <t>Riporto al foglio prezzi</t>
  </si>
  <si>
    <t>Quanti</t>
  </si>
  <si>
    <t>Aumento %</t>
  </si>
  <si>
    <t>Famiglia</t>
  </si>
  <si>
    <t>Acquisto</t>
  </si>
  <si>
    <t>Vendita</t>
  </si>
  <si>
    <t>Pre</t>
  </si>
  <si>
    <t>Cor</t>
  </si>
  <si>
    <t>T.Temp</t>
  </si>
  <si>
    <t>Tot.Acquisto</t>
  </si>
  <si>
    <t>Totale Vendita</t>
  </si>
  <si>
    <t>Nr. Chi</t>
  </si>
  <si>
    <t>RP</t>
  </si>
  <si>
    <t>Rig</t>
  </si>
  <si>
    <t>Pr/co</t>
  </si>
  <si>
    <t>C.Acqu.</t>
  </si>
  <si>
    <t>R.Vendita</t>
  </si>
  <si>
    <t>Ran</t>
  </si>
  <si>
    <t>Riga</t>
  </si>
  <si>
    <t>Magg</t>
  </si>
  <si>
    <t>Ven.Non C.</t>
  </si>
  <si>
    <t>Mese</t>
  </si>
  <si>
    <t>Mesi apertura</t>
  </si>
  <si>
    <t>Previsto</t>
  </si>
  <si>
    <t>Corretto</t>
  </si>
  <si>
    <t>Anno</t>
  </si>
  <si>
    <t>Prodotti</t>
  </si>
  <si>
    <t>% di correzione sulle quantità</t>
  </si>
  <si>
    <t>% di correzione sul prezzo di  vendita</t>
  </si>
  <si>
    <t>prezzo vendita medio per prodotto</t>
  </si>
  <si>
    <t>Media al giorno</t>
  </si>
  <si>
    <t>Massimo 15 famiglie prodotti</t>
  </si>
  <si>
    <t>LISTINO PREZZI PRODUZIONE</t>
  </si>
  <si>
    <t>T. mod.</t>
  </si>
  <si>
    <t>Ricerca processi</t>
  </si>
  <si>
    <t>Processo</t>
  </si>
  <si>
    <t>Uni</t>
  </si>
  <si>
    <t>Processi</t>
  </si>
  <si>
    <t>Qt</t>
  </si>
  <si>
    <t>Produzione giornaliera</t>
  </si>
  <si>
    <t>Attività</t>
  </si>
  <si>
    <t>ESECUZIONI CONTEMPORANEE</t>
  </si>
  <si>
    <t>Nr</t>
  </si>
  <si>
    <t>QT</t>
  </si>
  <si>
    <t>ore GL</t>
  </si>
  <si>
    <t>Singoli</t>
  </si>
  <si>
    <t>Tempo prod. teorica</t>
  </si>
  <si>
    <t>Produzione reale</t>
  </si>
  <si>
    <t>IMPOSTA TEMPO ATTIVITÀ PER PRODOTTO</t>
  </si>
  <si>
    <t>Tempo previsto imposto</t>
  </si>
  <si>
    <t>Dif-ferenza di tempo</t>
  </si>
  <si>
    <t>Nr. Processo</t>
  </si>
  <si>
    <t>T.Cor</t>
  </si>
  <si>
    <t>Proc.</t>
  </si>
  <si>
    <t>quantità</t>
  </si>
  <si>
    <t>Totali</t>
  </si>
  <si>
    <t>CONSEGUENZE DI MARKETING</t>
  </si>
  <si>
    <t>Produzione</t>
  </si>
  <si>
    <t>Prodotto</t>
  </si>
  <si>
    <t>Ordini</t>
  </si>
  <si>
    <t>Ord.cli</t>
  </si>
  <si>
    <t>Clienti</t>
  </si>
  <si>
    <t>Piano di liquidità</t>
  </si>
  <si>
    <t>Gen.</t>
  </si>
  <si>
    <t>Feb.</t>
  </si>
  <si>
    <t>Mar.</t>
  </si>
  <si>
    <t>Apr.</t>
  </si>
  <si>
    <t>Mag.</t>
  </si>
  <si>
    <t>Giu.</t>
  </si>
  <si>
    <t>Lug.</t>
  </si>
  <si>
    <t>Ago.</t>
  </si>
  <si>
    <t>Set.</t>
  </si>
  <si>
    <t>Ott.</t>
  </si>
  <si>
    <t>Nov.</t>
  </si>
  <si>
    <t>Dic.</t>
  </si>
  <si>
    <t>Cifra d'affari</t>
  </si>
  <si>
    <t>Pagamenti contanti</t>
  </si>
  <si>
    <t>TOTALE ENTRATE</t>
  </si>
  <si>
    <t>USCITE</t>
  </si>
  <si>
    <t>Paga.</t>
  </si>
  <si>
    <t>12</t>
  </si>
  <si>
    <t>Mensile = 12</t>
  </si>
  <si>
    <t>Totali Acquisti merce</t>
  </si>
  <si>
    <t>Semestrale = 6</t>
  </si>
  <si>
    <t>Totali stipendi</t>
  </si>
  <si>
    <t>Trimestrale = 4</t>
  </si>
  <si>
    <t>4</t>
  </si>
  <si>
    <t>Quadrimestre = 3</t>
  </si>
  <si>
    <t>2</t>
  </si>
  <si>
    <t>Bimestrale = 2</t>
  </si>
  <si>
    <t>Altri oneri sociali</t>
  </si>
  <si>
    <t>Unico inizio anno = I</t>
  </si>
  <si>
    <t>F</t>
  </si>
  <si>
    <t>Unico fine anno = F</t>
  </si>
  <si>
    <t>Affitti Ufficio</t>
  </si>
  <si>
    <t>Affitti laboratorio</t>
  </si>
  <si>
    <t>Manutenzioni</t>
  </si>
  <si>
    <t>I</t>
  </si>
  <si>
    <t>Riparazioni, multe, Diversi</t>
  </si>
  <si>
    <t>Assicurazioni in generale</t>
  </si>
  <si>
    <t>Liquidità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</si>
  <si>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</si>
  <si>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</si>
  <si>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</si>
  <si>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</si>
  <si>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</si>
  <si>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</si>
  <si>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</si>
  <si>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</si>
  <si>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</si>
  <si>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</si>
  <si>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</si>
  <si>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</si>
  <si>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Liquidità 1° anno</t>
  </si>
  <si>
    <t>Liquidità 2° anno</t>
  </si>
  <si>
    <t>Liquidità 3° anno</t>
  </si>
  <si>
    <t>Incasso 1° anno</t>
  </si>
  <si>
    <t>Incasso 2° anno</t>
  </si>
  <si>
    <t>Incasso 3° anno</t>
  </si>
  <si>
    <t>Costo 1° anno</t>
  </si>
  <si>
    <t>Costo 2° anno</t>
  </si>
  <si>
    <t>Costo 3° anno</t>
  </si>
  <si>
    <t>RIASSUNTO PARAMETRI</t>
  </si>
  <si>
    <t>Circolante</t>
  </si>
  <si>
    <t>Descrizione parametro</t>
  </si>
  <si>
    <t>Materiale circolante permanenza in stock</t>
  </si>
  <si>
    <t>Materiale stoccaggio permanenza in stock</t>
  </si>
  <si>
    <t xml:space="preserve">Vendita in contanti </t>
  </si>
  <si>
    <t>Percento</t>
  </si>
  <si>
    <t>Consegna merce e emissione fattura</t>
  </si>
  <si>
    <t>Emissione fattura e pagamento del cliente</t>
  </si>
  <si>
    <t>Costi</t>
  </si>
  <si>
    <t>Recupero da stipendi prestazioni sociali</t>
  </si>
  <si>
    <t>si / no</t>
  </si>
  <si>
    <t>Descrizione prodotto</t>
  </si>
  <si>
    <t>Qt.Stima</t>
  </si>
  <si>
    <t>Tempo Ore</t>
  </si>
  <si>
    <t>giorni</t>
  </si>
  <si>
    <t>Settimane anno</t>
  </si>
  <si>
    <t>settimane</t>
  </si>
  <si>
    <t>Giorni lavorativi settimana</t>
  </si>
  <si>
    <t>gironi/sett.</t>
  </si>
  <si>
    <t>Mesi lavorativi anno (esclues le vacanze)</t>
  </si>
  <si>
    <t>Mesi lavorat.</t>
  </si>
  <si>
    <t>Ore lavorative giorno</t>
  </si>
  <si>
    <t>Ore produttive massime anno teoriche</t>
  </si>
  <si>
    <t>Altri parametri</t>
  </si>
  <si>
    <t>3°anno</t>
  </si>
  <si>
    <t>Ore produttive in base alla capacità produttiva</t>
  </si>
  <si>
    <t>Percentuale di correzione</t>
  </si>
  <si>
    <t>Imposto</t>
  </si>
  <si>
    <t>Costo/ora</t>
  </si>
  <si>
    <t>Costo orario imposto</t>
  </si>
  <si>
    <t>Costo orario calcolato</t>
  </si>
  <si>
    <t>FLUSSO FINANZIARIO</t>
  </si>
  <si>
    <t>Da Cifra d'affari</t>
  </si>
  <si>
    <t>Risultato netto</t>
  </si>
  <si>
    <t>Aumenti di Capitale</t>
  </si>
  <si>
    <t>Fondi generati</t>
  </si>
  <si>
    <t>Debiti</t>
  </si>
  <si>
    <t>Crediti (clienti)</t>
  </si>
  <si>
    <t>Variazioni di magazzino</t>
  </si>
  <si>
    <t>Debiti verso fornitori</t>
  </si>
  <si>
    <t>Debiti finanziari a breve termine</t>
  </si>
  <si>
    <t>Altri debiti a breve</t>
  </si>
  <si>
    <t>Debiti finanziari medio lungo Termine</t>
  </si>
  <si>
    <t>Investimenti</t>
  </si>
  <si>
    <t>Dividendi</t>
  </si>
  <si>
    <t>Altri debiti a medio lungo termine</t>
  </si>
  <si>
    <t>Totale Debiti</t>
  </si>
  <si>
    <t>Capitale di terzi</t>
  </si>
  <si>
    <t>Aumento/diminuzione debiti</t>
  </si>
  <si>
    <t>AUTO FINANZIAMENTO</t>
  </si>
  <si>
    <t>Tempo totale  per processo</t>
  </si>
  <si>
    <t>Ore totali anno</t>
  </si>
  <si>
    <t>%H d GL</t>
  </si>
  <si>
    <t>C ore GL</t>
  </si>
  <si>
    <t>Ore corrette anno</t>
  </si>
  <si>
    <t>Nuovi tempi</t>
  </si>
  <si>
    <t>Non in</t>
  </si>
  <si>
    <t>Stampa</t>
  </si>
  <si>
    <t>N. Att. Contem..</t>
  </si>
  <si>
    <t>N.Att.Singole</t>
  </si>
  <si>
    <t>N. attività processo</t>
  </si>
  <si>
    <t>Attività contemp.</t>
  </si>
  <si>
    <t>Attività singole</t>
  </si>
  <si>
    <t>Ore totali</t>
  </si>
  <si>
    <t>% dal Previsto</t>
  </si>
  <si>
    <t>N.P</t>
  </si>
  <si>
    <t>QT. Rag.1</t>
  </si>
  <si>
    <t>QT. Rag.2</t>
  </si>
  <si>
    <t>QT. Rag.3</t>
  </si>
  <si>
    <t>QT. Rag.4</t>
  </si>
  <si>
    <t>QT. Rag.5</t>
  </si>
  <si>
    <t>Qt. Modificate</t>
  </si>
  <si>
    <t>Tempo modificato</t>
  </si>
  <si>
    <t>Tempo e Qt. Mod.</t>
  </si>
  <si>
    <t>% Uso ore previsto</t>
  </si>
  <si>
    <t>% Uso ore reali</t>
  </si>
  <si>
    <r>
      <t xml:space="preserve">Stipendi           </t>
    </r>
    <r>
      <rPr>
        <i/>
        <sz val="8"/>
        <rFont val="Times New Roman"/>
        <family val="1"/>
      </rPr>
      <t>Controlla se corrisponde il nr. dipendenti</t>
    </r>
  </si>
  <si>
    <t>Produzione giornaliera possibile</t>
  </si>
  <si>
    <t>Impostazioni da Prezzi</t>
  </si>
  <si>
    <t>IMPOSTA PRODOTTI COMBINATI</t>
  </si>
  <si>
    <t>Pr</t>
  </si>
  <si>
    <t>GPr</t>
  </si>
  <si>
    <t>Suc</t>
  </si>
  <si>
    <t>Pos</t>
  </si>
  <si>
    <t>Ricerca Famiglie</t>
  </si>
  <si>
    <t>Troppa Grazia!</t>
  </si>
  <si>
    <t>CtP</t>
  </si>
  <si>
    <t>CtF</t>
  </si>
  <si>
    <t>CRP</t>
  </si>
  <si>
    <t>Com</t>
  </si>
  <si>
    <t>RPF</t>
  </si>
  <si>
    <t>QtR</t>
  </si>
  <si>
    <t xml:space="preserve">Famiglie &gt; </t>
  </si>
  <si>
    <t>DEFINIZIONE DELLE  ATTIVITÀ  PER LE FAMIGLIE ELENCATE</t>
  </si>
  <si>
    <t>Tot Temp</t>
  </si>
  <si>
    <t>Acqui</t>
  </si>
  <si>
    <t>P.Vend.Un.</t>
  </si>
  <si>
    <t>PV Prezzo</t>
  </si>
  <si>
    <t>non corr</t>
  </si>
  <si>
    <t>PRC</t>
  </si>
  <si>
    <t>Media 3 Anni</t>
  </si>
  <si>
    <t>Prez.Ve</t>
  </si>
  <si>
    <t>Mater.</t>
  </si>
  <si>
    <t>Prezzo di vendita</t>
  </si>
  <si>
    <t>Prezzo Ven.</t>
  </si>
  <si>
    <t>Prodotto combinato / PV. Cal.</t>
  </si>
  <si>
    <t>Sconto</t>
  </si>
  <si>
    <t>si/no</t>
  </si>
  <si>
    <t xml:space="preserve">Leasing                                                                                                              </t>
  </si>
  <si>
    <t>Capitale da terzi (Banche)                     Ammortamento in % / Interessi in %</t>
  </si>
  <si>
    <t>Interessi</t>
  </si>
  <si>
    <t>Ammortamento</t>
  </si>
  <si>
    <t xml:space="preserve">1° </t>
  </si>
  <si>
    <t xml:space="preserve">2° </t>
  </si>
  <si>
    <t xml:space="preserve">3° </t>
  </si>
  <si>
    <t xml:space="preserve">4° </t>
  </si>
  <si>
    <t xml:space="preserve">5° </t>
  </si>
  <si>
    <t>CA prevista</t>
  </si>
  <si>
    <t>Modifica N° pezzi</t>
  </si>
  <si>
    <t>PRODOTTI COMBINATI</t>
  </si>
  <si>
    <t>RPP</t>
  </si>
  <si>
    <t>N°Prod.pos.</t>
  </si>
  <si>
    <t>PV mensile</t>
  </si>
  <si>
    <t>PV calc</t>
  </si>
  <si>
    <t>Cost</t>
  </si>
  <si>
    <t>ore proc.</t>
  </si>
  <si>
    <t>% prod</t>
  </si>
  <si>
    <t>Costo mese</t>
  </si>
  <si>
    <t>COSTO E PRODUTTIVITÀ DELLA PRODUZIONE</t>
  </si>
  <si>
    <t>Famiglia prodotto</t>
  </si>
  <si>
    <t>Prod. Mese/anno</t>
  </si>
  <si>
    <t>Nr di contatti necessari</t>
  </si>
  <si>
    <t>Contati girno/Anno</t>
  </si>
  <si>
    <t>Media Sc</t>
  </si>
  <si>
    <t>QT. Media</t>
  </si>
  <si>
    <t>SommaPV</t>
  </si>
  <si>
    <t>PV uni medio</t>
  </si>
  <si>
    <t>PV. medio</t>
  </si>
  <si>
    <t>Ammortamenti imposti</t>
  </si>
  <si>
    <t>!! SCEGLI COMMERCIO/PRODUZIONE !!</t>
  </si>
  <si>
    <t>Interessi passivi diversi</t>
  </si>
  <si>
    <t>Interessi passivi bancari</t>
  </si>
  <si>
    <t>NON ANCORA DEFINITO</t>
  </si>
  <si>
    <t>Margine operativo</t>
  </si>
  <si>
    <t xml:space="preserve">Tempo previsto al giorno per contattare possibili clienti </t>
  </si>
  <si>
    <t>Minuti x contatto</t>
  </si>
  <si>
    <t>MinCent</t>
  </si>
  <si>
    <t>Minuti</t>
  </si>
  <si>
    <t>ppp</t>
  </si>
  <si>
    <t xml:space="preserve">Margini </t>
  </si>
  <si>
    <t>Margine prima delle imposte</t>
  </si>
  <si>
    <t>Recupero da prestazioni sociali (SI o No)</t>
  </si>
  <si>
    <t xml:space="preserve">AVS/AI/IPG </t>
  </si>
  <si>
    <t xml:space="preserve">Spese Amministrative   </t>
  </si>
  <si>
    <t>Assicurazione Disoccupazione</t>
  </si>
  <si>
    <t xml:space="preserve">2° Pilastro </t>
  </si>
  <si>
    <t xml:space="preserve">Infortuni professionali    </t>
  </si>
  <si>
    <t xml:space="preserve">Perdita salario per malattia   </t>
  </si>
  <si>
    <t xml:space="preserve">Contributi cassa assegni Familiari     </t>
  </si>
  <si>
    <t>% Dip</t>
  </si>
  <si>
    <t xml:space="preserve">Immobili </t>
  </si>
  <si>
    <t>Controllo lettere</t>
  </si>
  <si>
    <t>Tot.Tempo</t>
  </si>
  <si>
    <t>Tot.Materie</t>
  </si>
  <si>
    <t>Fatt. processo</t>
  </si>
  <si>
    <t>Persone</t>
  </si>
  <si>
    <t>Costo prodotti combinati</t>
  </si>
  <si>
    <t>incas.</t>
  </si>
  <si>
    <t>si</t>
  </si>
  <si>
    <t>6</t>
  </si>
  <si>
    <t>Copyright AMISI</t>
  </si>
  <si>
    <t>Fatturato Medio giorno</t>
  </si>
  <si>
    <t>Diversi (indicazioni per spese non contemplate sopra)</t>
  </si>
  <si>
    <t>Diversi (Tasse per franchising, Goodwill, avviamento ( valori di acquisto))</t>
  </si>
  <si>
    <t>Dettagli riguardanti il capitale per l'attivo circolante</t>
  </si>
  <si>
    <t>Capitale per la fondazione dell'impresa</t>
  </si>
  <si>
    <t>Apporto personale</t>
  </si>
  <si>
    <r>
      <t xml:space="preserve">Usare </t>
    </r>
    <r>
      <rPr>
        <b/>
        <sz val="10"/>
        <color indexed="10"/>
        <rFont val="Times New Roman"/>
        <family val="1"/>
      </rPr>
      <t>S</t>
    </r>
    <r>
      <rPr>
        <sz val="10"/>
        <color indexed="10"/>
        <rFont val="Times New Roman"/>
        <family val="1"/>
      </rPr>
      <t xml:space="preserve"> per sequenza  e </t>
    </r>
    <r>
      <rPr>
        <b/>
        <sz val="10"/>
        <color indexed="10"/>
        <rFont val="Times New Roman"/>
        <family val="1"/>
      </rPr>
      <t>C</t>
    </r>
    <r>
      <rPr>
        <sz val="10"/>
        <color indexed="10"/>
        <rFont val="Times New Roman"/>
        <family val="1"/>
      </rPr>
      <t xml:space="preserve"> per contemporaneo</t>
    </r>
  </si>
  <si>
    <t>Continua a impostare il tempo necessario per eseguire le attività iscritte non nella seguente tabella ma nella successiva.</t>
  </si>
  <si>
    <t>Contemporaneità</t>
  </si>
  <si>
    <t>Acquisti derivanti da produzione</t>
  </si>
  <si>
    <t>Numero dipendenti a tempo pieno o parziale</t>
  </si>
  <si>
    <t>Dettagli riguardanti il capitale di fondazione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</si>
</sst>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&quot;SFr.&quot;\ * #,##0.00_ ;_ &quot;SFr.&quot;\ * \-#,##0.00_ ;_ &quot;SFr.&quot;\ * &quot;-&quot;??_ ;_ @_ "/>
    <numFmt numFmtId="165" formatCode="#,##0_ ;\-#,##0\ "/>
    <numFmt numFmtId="166" formatCode="0.0%"/>
    <numFmt numFmtId="167" formatCode="0.0"/>
    <numFmt numFmtId="168" formatCode="0.00000000"/>
    <numFmt numFmtId="169" formatCode="0.000"/>
    <numFmt numFmtId="170" formatCode="#,##0.00_ ;\-#,##0.00\ "/>
    <numFmt numFmtId="171" formatCode="#,##0_ ;[Red]\-#,##0\ "/>
    <numFmt numFmtId="172" formatCode="0.000%"/>
    <numFmt numFmtId="173" formatCode="_ &quot;SFr.&quot;\ * #,##0_ ;_ &quot;SFr.&quot;\ * \-#,##0_ ;_ &quot;SFr.&quot;\ * &quot;-&quot;??_ ;_ @_ "/>
  </numFmts>
  <fonts count="37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</font>
    <font>
      <b/>
      <sz val="10"/>
      <name val="Times New Roman"/>
    </font>
    <font>
      <b/>
      <sz val="12"/>
      <name val="Times New Roman"/>
      <family val="1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</font>
    <font>
      <sz val="10"/>
      <color indexed="10"/>
      <name val="Times New Roman"/>
    </font>
    <font>
      <b/>
      <sz val="16"/>
      <name val="Arial"/>
      <family val="2"/>
    </font>
    <font>
      <b/>
      <sz val="8"/>
      <name val="Times New Roman"/>
    </font>
    <font>
      <sz val="10"/>
      <name val="Times New Roman"/>
    </font>
    <font>
      <sz val="8"/>
      <name val="Arial"/>
    </font>
    <font>
      <sz val="8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8"/>
      <name val="Arial"/>
    </font>
    <font>
      <b/>
      <sz val="10"/>
      <color indexed="12"/>
      <name val="Times New Roman"/>
      <family val="1"/>
    </font>
    <font>
      <b/>
      <sz val="10"/>
      <color indexed="12"/>
      <name val="Times New Roman"/>
    </font>
    <font>
      <sz val="10"/>
      <color indexed="12"/>
      <name val="Times New Roman"/>
    </font>
    <font>
      <sz val="10"/>
      <color indexed="50"/>
      <name val="Times New Roman"/>
      <family val="1"/>
    </font>
    <font>
      <b/>
      <sz val="8"/>
      <name val="Times New Roman"/>
      <family val="1"/>
    </font>
    <font>
      <b/>
      <i/>
      <sz val="10"/>
      <name val="Times New Roman"/>
      <family val="1"/>
    </font>
    <font>
      <sz val="10"/>
      <color indexed="48"/>
      <name val="Times New Roman"/>
      <family val="1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8"/>
      <color indexed="10"/>
      <name val="Times New Roman"/>
      <family val="1"/>
    </font>
    <font>
      <i/>
      <sz val="8"/>
      <name val="Times New Roman"/>
      <family val="1"/>
    </font>
    <font>
      <sz val="10"/>
      <color indexed="10"/>
      <name val="Wingdings 3"/>
      <family val="1"/>
      <charset val="2"/>
    </font>
    <font>
      <b/>
      <sz val="8"/>
      <color indexed="10"/>
      <name val="Times New Roman"/>
      <family val="1"/>
    </font>
    <font>
      <b/>
      <i/>
      <sz val="12"/>
      <name val="Times New Roman"/>
      <family val="1"/>
    </font>
    <font>
      <sz val="10"/>
      <color indexed="9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17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 applyBorder="1" applyAlignment="1">
      <alignment horizontal="right"/>
    </xf>
    <xf numFmtId="0" fontId="5" fillId="2" borderId="5" xfId="0" applyFont="1" applyFill="1" applyBorder="1"/>
    <xf numFmtId="0" fontId="6" fillId="2" borderId="5" xfId="0" applyFont="1" applyFill="1" applyBorder="1"/>
    <xf numFmtId="0" fontId="3" fillId="0" borderId="2" xfId="0" applyFont="1" applyFill="1" applyBorder="1"/>
    <xf numFmtId="0" fontId="3" fillId="0" borderId="7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0" borderId="0" xfId="0" applyFont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7" xfId="0" applyFont="1" applyBorder="1"/>
    <xf numFmtId="1" fontId="3" fillId="0" borderId="3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8" xfId="0" applyFont="1" applyFill="1" applyBorder="1"/>
    <xf numFmtId="0" fontId="5" fillId="0" borderId="0" xfId="0" applyFont="1" applyAlignment="1">
      <alignment horizontal="center"/>
    </xf>
    <xf numFmtId="164" fontId="3" fillId="0" borderId="0" xfId="0" applyNumberFormat="1" applyFont="1" applyBorder="1"/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7" xfId="0" applyFont="1" applyFill="1" applyBorder="1"/>
    <xf numFmtId="0" fontId="3" fillId="2" borderId="11" xfId="0" applyFont="1" applyFill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2" fontId="3" fillId="0" borderId="0" xfId="0" applyNumberFormat="1" applyFont="1" applyBorder="1"/>
    <xf numFmtId="170" fontId="3" fillId="0" borderId="0" xfId="0" applyNumberFormat="1" applyFont="1"/>
    <xf numFmtId="10" fontId="5" fillId="0" borderId="0" xfId="1" applyNumberFormat="1" applyFont="1" applyFill="1"/>
    <xf numFmtId="0" fontId="8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5" fillId="2" borderId="7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3" fontId="3" fillId="0" borderId="2" xfId="0" applyNumberFormat="1" applyFont="1" applyBorder="1"/>
    <xf numFmtId="3" fontId="3" fillId="2" borderId="13" xfId="0" applyNumberFormat="1" applyFont="1" applyFill="1" applyBorder="1"/>
    <xf numFmtId="3" fontId="3" fillId="2" borderId="14" xfId="0" applyNumberFormat="1" applyFont="1" applyFill="1" applyBorder="1"/>
    <xf numFmtId="0" fontId="5" fillId="2" borderId="8" xfId="0" applyFont="1" applyFill="1" applyBorder="1"/>
    <xf numFmtId="0" fontId="3" fillId="0" borderId="15" xfId="0" applyFont="1" applyBorder="1" applyAlignment="1">
      <alignment horizontal="center"/>
    </xf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164" fontId="3" fillId="3" borderId="14" xfId="0" applyNumberFormat="1" applyFont="1" applyFill="1" applyBorder="1"/>
    <xf numFmtId="164" fontId="3" fillId="3" borderId="13" xfId="0" applyNumberFormat="1" applyFont="1" applyFill="1" applyBorder="1"/>
    <xf numFmtId="164" fontId="3" fillId="3" borderId="12" xfId="0" applyNumberFormat="1" applyFont="1" applyFill="1" applyBorder="1"/>
    <xf numFmtId="164" fontId="3" fillId="3" borderId="16" xfId="0" applyNumberFormat="1" applyFont="1" applyFill="1" applyBorder="1"/>
    <xf numFmtId="3" fontId="3" fillId="3" borderId="17" xfId="0" applyNumberFormat="1" applyFont="1" applyFill="1" applyBorder="1"/>
    <xf numFmtId="2" fontId="3" fillId="3" borderId="2" xfId="0" applyNumberFormat="1" applyFont="1" applyFill="1" applyBorder="1"/>
    <xf numFmtId="1" fontId="5" fillId="3" borderId="13" xfId="0" applyNumberFormat="1" applyFont="1" applyFill="1" applyBorder="1"/>
    <xf numFmtId="2" fontId="3" fillId="3" borderId="2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3" fontId="3" fillId="3" borderId="2" xfId="0" applyNumberFormat="1" applyFont="1" applyFill="1" applyBorder="1"/>
    <xf numFmtId="3" fontId="3" fillId="3" borderId="3" xfId="0" applyNumberFormat="1" applyFont="1" applyFill="1" applyBorder="1"/>
    <xf numFmtId="3" fontId="0" fillId="0" borderId="0" xfId="0" applyNumberFormat="1"/>
    <xf numFmtId="168" fontId="3" fillId="0" borderId="0" xfId="0" applyNumberFormat="1" applyFont="1"/>
    <xf numFmtId="0" fontId="0" fillId="0" borderId="2" xfId="0" applyBorder="1"/>
    <xf numFmtId="2" fontId="3" fillId="3" borderId="3" xfId="0" applyNumberFormat="1" applyFont="1" applyFill="1" applyBorder="1"/>
    <xf numFmtId="3" fontId="5" fillId="3" borderId="3" xfId="0" applyNumberFormat="1" applyFont="1" applyFill="1" applyBorder="1"/>
    <xf numFmtId="3" fontId="5" fillId="3" borderId="14" xfId="0" applyNumberFormat="1" applyFont="1" applyFill="1" applyBorder="1"/>
    <xf numFmtId="0" fontId="5" fillId="2" borderId="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2" fillId="0" borderId="0" xfId="0" applyFont="1"/>
    <xf numFmtId="0" fontId="3" fillId="2" borderId="0" xfId="0" applyFont="1" applyFill="1"/>
    <xf numFmtId="0" fontId="5" fillId="2" borderId="0" xfId="0" applyFont="1" applyFill="1"/>
    <xf numFmtId="164" fontId="3" fillId="2" borderId="0" xfId="0" applyNumberFormat="1" applyFont="1" applyFill="1"/>
    <xf numFmtId="164" fontId="5" fillId="3" borderId="14" xfId="0" applyNumberFormat="1" applyFont="1" applyFill="1" applyBorder="1"/>
    <xf numFmtId="0" fontId="5" fillId="0" borderId="3" xfId="0" applyFont="1" applyFill="1" applyBorder="1" applyAlignment="1">
      <alignment horizontal="right"/>
    </xf>
    <xf numFmtId="164" fontId="3" fillId="3" borderId="0" xfId="0" applyNumberFormat="1" applyFont="1" applyFill="1"/>
    <xf numFmtId="164" fontId="3" fillId="3" borderId="2" xfId="0" applyNumberFormat="1" applyFont="1" applyFill="1" applyBorder="1"/>
    <xf numFmtId="0" fontId="3" fillId="3" borderId="2" xfId="0" applyFont="1" applyFill="1" applyBorder="1"/>
    <xf numFmtId="3" fontId="3" fillId="3" borderId="13" xfId="0" applyNumberFormat="1" applyFont="1" applyFill="1" applyBorder="1"/>
    <xf numFmtId="0" fontId="3" fillId="3" borderId="7" xfId="0" applyFont="1" applyFill="1" applyBorder="1"/>
    <xf numFmtId="3" fontId="3" fillId="3" borderId="12" xfId="0" applyNumberFormat="1" applyFont="1" applyFill="1" applyBorder="1"/>
    <xf numFmtId="0" fontId="13" fillId="0" borderId="0" xfId="0" applyFont="1"/>
    <xf numFmtId="0" fontId="5" fillId="0" borderId="0" xfId="0" applyFont="1" applyAlignment="1">
      <alignment horizontal="right"/>
    </xf>
    <xf numFmtId="1" fontId="3" fillId="0" borderId="0" xfId="0" applyNumberFormat="1" applyFont="1"/>
    <xf numFmtId="164" fontId="5" fillId="0" borderId="0" xfId="0" applyNumberFormat="1" applyFont="1" applyAlignment="1">
      <alignment horizontal="center"/>
    </xf>
    <xf numFmtId="10" fontId="5" fillId="3" borderId="13" xfId="1" applyNumberFormat="1" applyFont="1" applyFill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1" fontId="5" fillId="3" borderId="2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Continuous"/>
    </xf>
    <xf numFmtId="0" fontId="5" fillId="2" borderId="8" xfId="0" applyFont="1" applyFill="1" applyBorder="1" applyAlignment="1">
      <alignment horizontal="centerContinuous"/>
    </xf>
    <xf numFmtId="0" fontId="5" fillId="2" borderId="22" xfId="0" applyFont="1" applyFill="1" applyBorder="1" applyAlignment="1">
      <alignment horizontal="centerContinuous"/>
    </xf>
    <xf numFmtId="0" fontId="3" fillId="3" borderId="3" xfId="0" applyFont="1" applyFill="1" applyBorder="1"/>
    <xf numFmtId="0" fontId="3" fillId="3" borderId="14" xfId="0" applyFont="1" applyFill="1" applyBorder="1"/>
    <xf numFmtId="164" fontId="3" fillId="0" borderId="0" xfId="0" applyNumberFormat="1" applyFont="1" applyFill="1" applyBorder="1"/>
    <xf numFmtId="3" fontId="3" fillId="0" borderId="0" xfId="0" applyNumberFormat="1" applyFont="1" applyBorder="1"/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Continuous"/>
    </xf>
    <xf numFmtId="0" fontId="3" fillId="0" borderId="23" xfId="0" applyFont="1" applyBorder="1"/>
    <xf numFmtId="0" fontId="3" fillId="0" borderId="24" xfId="0" applyFont="1" applyBorder="1"/>
    <xf numFmtId="0" fontId="3" fillId="3" borderId="25" xfId="0" applyFont="1" applyFill="1" applyBorder="1" applyAlignment="1">
      <alignment horizontal="center"/>
    </xf>
    <xf numFmtId="0" fontId="3" fillId="2" borderId="24" xfId="0" applyFont="1" applyFill="1" applyBorder="1"/>
    <xf numFmtId="0" fontId="5" fillId="2" borderId="7" xfId="0" applyFont="1" applyFill="1" applyBorder="1" applyAlignment="1">
      <alignment horizontal="centerContinuous"/>
    </xf>
    <xf numFmtId="0" fontId="5" fillId="2" borderId="15" xfId="0" applyFont="1" applyFill="1" applyBorder="1" applyAlignment="1">
      <alignment horizontal="centerContinuous"/>
    </xf>
    <xf numFmtId="0" fontId="3" fillId="3" borderId="15" xfId="0" applyFont="1" applyFill="1" applyBorder="1" applyAlignment="1">
      <alignment horizontal="centerContinuous"/>
    </xf>
    <xf numFmtId="3" fontId="3" fillId="0" borderId="0" xfId="0" applyNumberFormat="1" applyFont="1"/>
    <xf numFmtId="0" fontId="3" fillId="0" borderId="0" xfId="0" applyFont="1" applyAlignment="1">
      <alignment horizontal="centerContinuous"/>
    </xf>
    <xf numFmtId="164" fontId="5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/>
    <xf numFmtId="165" fontId="3" fillId="0" borderId="0" xfId="0" applyNumberFormat="1" applyFont="1" applyFill="1" applyBorder="1"/>
    <xf numFmtId="164" fontId="3" fillId="0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1" fontId="3" fillId="4" borderId="0" xfId="0" applyNumberFormat="1" applyFont="1" applyFill="1"/>
    <xf numFmtId="1" fontId="9" fillId="4" borderId="0" xfId="0" applyNumberFormat="1" applyFont="1" applyFill="1"/>
    <xf numFmtId="3" fontId="3" fillId="4" borderId="0" xfId="0" applyNumberFormat="1" applyFont="1" applyFill="1"/>
    <xf numFmtId="164" fontId="10" fillId="0" borderId="0" xfId="0" applyNumberFormat="1" applyFont="1" applyBorder="1"/>
    <xf numFmtId="2" fontId="3" fillId="0" borderId="0" xfId="0" applyNumberFormat="1" applyFont="1" applyFill="1" applyBorder="1"/>
    <xf numFmtId="2" fontId="11" fillId="0" borderId="0" xfId="0" applyNumberFormat="1" applyFont="1" applyFill="1" applyBorder="1"/>
    <xf numFmtId="164" fontId="9" fillId="0" borderId="0" xfId="0" applyNumberFormat="1" applyFont="1" applyFill="1" applyBorder="1"/>
    <xf numFmtId="3" fontId="3" fillId="3" borderId="26" xfId="0" applyNumberFormat="1" applyFont="1" applyFill="1" applyBorder="1"/>
    <xf numFmtId="3" fontId="5" fillId="3" borderId="2" xfId="0" applyNumberFormat="1" applyFont="1" applyFill="1" applyBorder="1"/>
    <xf numFmtId="49" fontId="3" fillId="0" borderId="0" xfId="0" applyNumberFormat="1" applyFont="1"/>
    <xf numFmtId="0" fontId="3" fillId="0" borderId="0" xfId="0" applyNumberFormat="1" applyFont="1"/>
    <xf numFmtId="49" fontId="3" fillId="0" borderId="0" xfId="0" applyNumberFormat="1" applyFont="1" applyAlignment="1">
      <alignment horizontal="left"/>
    </xf>
    <xf numFmtId="0" fontId="5" fillId="2" borderId="27" xfId="0" applyFont="1" applyFill="1" applyBorder="1"/>
    <xf numFmtId="3" fontId="3" fillId="2" borderId="28" xfId="0" applyNumberFormat="1" applyFont="1" applyFill="1" applyBorder="1"/>
    <xf numFmtId="3" fontId="3" fillId="2" borderId="29" xfId="0" applyNumberFormat="1" applyFont="1" applyFill="1" applyBorder="1"/>
    <xf numFmtId="171" fontId="3" fillId="0" borderId="18" xfId="0" applyNumberFormat="1" applyFont="1" applyBorder="1"/>
    <xf numFmtId="10" fontId="5" fillId="3" borderId="2" xfId="1" applyNumberFormat="1" applyFont="1" applyFill="1" applyBorder="1" applyAlignment="1">
      <alignment horizontal="centerContinuous"/>
    </xf>
    <xf numFmtId="0" fontId="5" fillId="0" borderId="0" xfId="0" applyFont="1" applyAlignment="1">
      <alignment horizontal="centerContinuous"/>
    </xf>
    <xf numFmtId="10" fontId="5" fillId="3" borderId="0" xfId="1" applyNumberFormat="1" applyFont="1" applyFill="1" applyBorder="1" applyAlignment="1">
      <alignment horizontal="centerContinuous"/>
    </xf>
    <xf numFmtId="0" fontId="18" fillId="0" borderId="0" xfId="0" applyFont="1"/>
    <xf numFmtId="0" fontId="5" fillId="0" borderId="2" xfId="0" applyFont="1" applyBorder="1"/>
    <xf numFmtId="0" fontId="5" fillId="2" borderId="2" xfId="0" applyFont="1" applyFill="1" applyBorder="1"/>
    <xf numFmtId="0" fontId="5" fillId="2" borderId="15" xfId="0" applyFont="1" applyFill="1" applyBorder="1"/>
    <xf numFmtId="0" fontId="5" fillId="2" borderId="12" xfId="0" applyFont="1" applyFill="1" applyBorder="1"/>
    <xf numFmtId="0" fontId="3" fillId="2" borderId="30" xfId="0" applyFont="1" applyFill="1" applyBorder="1"/>
    <xf numFmtId="0" fontId="3" fillId="2" borderId="31" xfId="0" applyFont="1" applyFill="1" applyBorder="1"/>
    <xf numFmtId="0" fontId="5" fillId="2" borderId="20" xfId="0" applyFont="1" applyFill="1" applyBorder="1"/>
    <xf numFmtId="0" fontId="3" fillId="3" borderId="0" xfId="0" applyFont="1" applyFill="1" applyBorder="1"/>
    <xf numFmtId="0" fontId="3" fillId="3" borderId="3" xfId="0" applyFont="1" applyFill="1" applyBorder="1" applyAlignment="1">
      <alignment horizontal="center"/>
    </xf>
    <xf numFmtId="0" fontId="14" fillId="0" borderId="0" xfId="0" applyFont="1" applyFill="1" applyBorder="1"/>
    <xf numFmtId="9" fontId="5" fillId="0" borderId="0" xfId="0" applyNumberFormat="1" applyFont="1" applyFill="1" applyBorder="1" applyAlignment="1">
      <alignment horizontal="center"/>
    </xf>
    <xf numFmtId="0" fontId="14" fillId="3" borderId="3" xfId="0" applyFont="1" applyFill="1" applyBorder="1"/>
    <xf numFmtId="0" fontId="3" fillId="3" borderId="4" xfId="0" applyFont="1" applyFill="1" applyBorder="1"/>
    <xf numFmtId="1" fontId="3" fillId="0" borderId="0" xfId="0" applyNumberFormat="1" applyFont="1" applyFill="1" applyBorder="1"/>
    <xf numFmtId="9" fontId="3" fillId="0" borderId="0" xfId="0" applyNumberFormat="1" applyFont="1" applyFill="1" applyBorder="1"/>
    <xf numFmtId="171" fontId="3" fillId="0" borderId="0" xfId="0" applyNumberFormat="1" applyFont="1"/>
    <xf numFmtId="0" fontId="10" fillId="0" borderId="0" xfId="0" applyFont="1" applyAlignment="1">
      <alignment horizontal="right"/>
    </xf>
    <xf numFmtId="0" fontId="3" fillId="2" borderId="15" xfId="0" applyFont="1" applyFill="1" applyBorder="1" applyAlignment="1">
      <alignment horizontal="right"/>
    </xf>
    <xf numFmtId="0" fontId="3" fillId="2" borderId="32" xfId="0" applyFont="1" applyFill="1" applyBorder="1" applyAlignment="1">
      <alignment horizontal="right"/>
    </xf>
    <xf numFmtId="0" fontId="20" fillId="2" borderId="33" xfId="0" applyFont="1" applyFill="1" applyBorder="1"/>
    <xf numFmtId="9" fontId="17" fillId="3" borderId="19" xfId="0" applyNumberFormat="1" applyFont="1" applyFill="1" applyBorder="1"/>
    <xf numFmtId="0" fontId="20" fillId="2" borderId="9" xfId="0" applyFont="1" applyFill="1" applyBorder="1"/>
    <xf numFmtId="1" fontId="17" fillId="3" borderId="2" xfId="0" applyNumberFormat="1" applyFont="1" applyFill="1" applyBorder="1" applyAlignment="1">
      <alignment horizontal="center"/>
    </xf>
    <xf numFmtId="1" fontId="20" fillId="3" borderId="2" xfId="0" applyNumberFormat="1" applyFont="1" applyFill="1" applyBorder="1" applyAlignment="1">
      <alignment horizontal="centerContinuous"/>
    </xf>
    <xf numFmtId="2" fontId="20" fillId="3" borderId="21" xfId="0" applyNumberFormat="1" applyFont="1" applyFill="1" applyBorder="1"/>
    <xf numFmtId="2" fontId="17" fillId="3" borderId="3" xfId="0" applyNumberFormat="1" applyFont="1" applyFill="1" applyBorder="1"/>
    <xf numFmtId="164" fontId="17" fillId="3" borderId="6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20" fillId="3" borderId="13" xfId="0" applyFont="1" applyFill="1" applyBorder="1" applyAlignment="1">
      <alignment horizontal="center"/>
    </xf>
    <xf numFmtId="9" fontId="20" fillId="3" borderId="13" xfId="0" applyNumberFormat="1" applyFont="1" applyFill="1" applyBorder="1" applyAlignment="1">
      <alignment horizontal="center"/>
    </xf>
    <xf numFmtId="10" fontId="20" fillId="3" borderId="13" xfId="0" applyNumberFormat="1" applyFont="1" applyFill="1" applyBorder="1" applyAlignment="1">
      <alignment horizontal="center"/>
    </xf>
    <xf numFmtId="9" fontId="21" fillId="3" borderId="2" xfId="0" applyNumberFormat="1" applyFont="1" applyFill="1" applyBorder="1" applyAlignment="1">
      <alignment horizontal="center"/>
    </xf>
    <xf numFmtId="9" fontId="21" fillId="3" borderId="3" xfId="0" applyNumberFormat="1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2" fontId="20" fillId="3" borderId="13" xfId="0" applyNumberFormat="1" applyFont="1" applyFill="1" applyBorder="1" applyAlignment="1">
      <alignment horizontal="center"/>
    </xf>
    <xf numFmtId="10" fontId="21" fillId="3" borderId="0" xfId="0" applyNumberFormat="1" applyFont="1" applyFill="1" applyBorder="1" applyAlignment="1">
      <alignment horizontal="center"/>
    </xf>
    <xf numFmtId="10" fontId="21" fillId="3" borderId="19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64" fontId="17" fillId="3" borderId="2" xfId="0" applyNumberFormat="1" applyFont="1" applyFill="1" applyBorder="1"/>
    <xf numFmtId="164" fontId="17" fillId="3" borderId="13" xfId="0" applyNumberFormat="1" applyFont="1" applyFill="1" applyBorder="1"/>
    <xf numFmtId="0" fontId="17" fillId="3" borderId="2" xfId="0" applyFont="1" applyFill="1" applyBorder="1"/>
    <xf numFmtId="164" fontId="17" fillId="3" borderId="3" xfId="0" applyNumberFormat="1" applyFont="1" applyFill="1" applyBorder="1"/>
    <xf numFmtId="1" fontId="22" fillId="3" borderId="0" xfId="0" applyNumberFormat="1" applyFont="1" applyFill="1" applyBorder="1" applyAlignment="1">
      <alignment horizontal="center"/>
    </xf>
    <xf numFmtId="1" fontId="22" fillId="3" borderId="19" xfId="0" applyNumberFormat="1" applyFont="1" applyFill="1" applyBorder="1" applyAlignment="1">
      <alignment horizontal="center"/>
    </xf>
    <xf numFmtId="1" fontId="22" fillId="3" borderId="13" xfId="0" applyNumberFormat="1" applyFont="1" applyFill="1" applyBorder="1" applyAlignment="1">
      <alignment horizontal="center"/>
    </xf>
    <xf numFmtId="1" fontId="22" fillId="3" borderId="14" xfId="0" applyNumberFormat="1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3" fillId="3" borderId="15" xfId="0" applyFont="1" applyFill="1" applyBorder="1"/>
    <xf numFmtId="171" fontId="3" fillId="0" borderId="2" xfId="0" applyNumberFormat="1" applyFont="1" applyBorder="1"/>
    <xf numFmtId="0" fontId="3" fillId="2" borderId="17" xfId="0" applyFont="1" applyFill="1" applyBorder="1"/>
    <xf numFmtId="0" fontId="3" fillId="2" borderId="16" xfId="0" applyFont="1" applyFill="1" applyBorder="1"/>
    <xf numFmtId="0" fontId="3" fillId="0" borderId="34" xfId="0" applyFont="1" applyBorder="1"/>
    <xf numFmtId="171" fontId="3" fillId="0" borderId="25" xfId="0" applyNumberFormat="1" applyFont="1" applyBorder="1"/>
    <xf numFmtId="171" fontId="3" fillId="0" borderId="7" xfId="0" applyNumberFormat="1" applyFont="1" applyBorder="1"/>
    <xf numFmtId="171" fontId="3" fillId="0" borderId="35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171" fontId="11" fillId="3" borderId="6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Continuous"/>
    </xf>
    <xf numFmtId="0" fontId="0" fillId="0" borderId="0" xfId="0" applyAlignment="1">
      <alignment horizontal="centerContinuous"/>
    </xf>
    <xf numFmtId="164" fontId="17" fillId="3" borderId="36" xfId="0" applyNumberFormat="1" applyFont="1" applyFill="1" applyBorder="1" applyAlignment="1">
      <alignment horizontal="centerContinuous"/>
    </xf>
    <xf numFmtId="0" fontId="0" fillId="3" borderId="37" xfId="0" applyFill="1" applyBorder="1" applyAlignment="1">
      <alignment horizontal="centerContinuous"/>
    </xf>
    <xf numFmtId="164" fontId="17" fillId="3" borderId="24" xfId="0" applyNumberFormat="1" applyFont="1" applyFill="1" applyBorder="1" applyAlignment="1">
      <alignment horizontal="centerContinuous"/>
    </xf>
    <xf numFmtId="0" fontId="0" fillId="3" borderId="38" xfId="0" applyFill="1" applyBorder="1" applyAlignment="1">
      <alignment horizontal="centerContinuous"/>
    </xf>
    <xf numFmtId="170" fontId="3" fillId="3" borderId="39" xfId="0" applyNumberFormat="1" applyFont="1" applyFill="1" applyBorder="1" applyAlignment="1">
      <alignment horizontal="centerContinuous"/>
    </xf>
    <xf numFmtId="170" fontId="3" fillId="3" borderId="40" xfId="0" applyNumberFormat="1" applyFont="1" applyFill="1" applyBorder="1" applyAlignment="1">
      <alignment horizontal="centerContinuous"/>
    </xf>
    <xf numFmtId="170" fontId="3" fillId="3" borderId="41" xfId="0" applyNumberFormat="1" applyFont="1" applyFill="1" applyBorder="1" applyAlignment="1">
      <alignment horizontal="centerContinuous"/>
    </xf>
    <xf numFmtId="170" fontId="3" fillId="3" borderId="42" xfId="0" applyNumberFormat="1" applyFont="1" applyFill="1" applyBorder="1" applyAlignment="1">
      <alignment horizontal="centerContinuous"/>
    </xf>
    <xf numFmtId="170" fontId="3" fillId="3" borderId="24" xfId="0" applyNumberFormat="1" applyFont="1" applyFill="1" applyBorder="1" applyAlignment="1">
      <alignment horizontal="centerContinuous"/>
    </xf>
    <xf numFmtId="170" fontId="3" fillId="3" borderId="38" xfId="0" applyNumberFormat="1" applyFont="1" applyFill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0" fillId="3" borderId="40" xfId="0" applyFill="1" applyBorder="1" applyAlignment="1">
      <alignment horizontal="centerContinuous"/>
    </xf>
    <xf numFmtId="0" fontId="0" fillId="3" borderId="42" xfId="0" applyFill="1" applyBorder="1" applyAlignment="1">
      <alignment horizontal="centerContinuous"/>
    </xf>
    <xf numFmtId="164" fontId="5" fillId="0" borderId="0" xfId="0" applyNumberFormat="1" applyFont="1" applyFill="1" applyBorder="1" applyAlignment="1">
      <alignment horizontal="centerContinuous"/>
    </xf>
    <xf numFmtId="0" fontId="6" fillId="2" borderId="8" xfId="0" applyFont="1" applyFill="1" applyBorder="1"/>
    <xf numFmtId="0" fontId="3" fillId="0" borderId="15" xfId="0" applyFont="1" applyFill="1" applyBorder="1"/>
    <xf numFmtId="0" fontId="5" fillId="0" borderId="4" xfId="0" applyFont="1" applyBorder="1" applyAlignment="1">
      <alignment horizontal="right"/>
    </xf>
    <xf numFmtId="0" fontId="3" fillId="0" borderId="15" xfId="0" applyFont="1" applyBorder="1"/>
    <xf numFmtId="164" fontId="5" fillId="3" borderId="29" xfId="0" applyNumberFormat="1" applyFont="1" applyFill="1" applyBorder="1"/>
    <xf numFmtId="0" fontId="5" fillId="2" borderId="3" xfId="0" applyFont="1" applyFill="1" applyBorder="1"/>
    <xf numFmtId="0" fontId="3" fillId="2" borderId="4" xfId="0" applyFont="1" applyFill="1" applyBorder="1"/>
    <xf numFmtId="0" fontId="5" fillId="0" borderId="5" xfId="0" applyFont="1" applyBorder="1" applyAlignment="1">
      <alignment horizontal="right"/>
    </xf>
    <xf numFmtId="164" fontId="3" fillId="3" borderId="28" xfId="0" applyNumberFormat="1" applyFont="1" applyFill="1" applyBorder="1"/>
    <xf numFmtId="164" fontId="3" fillId="3" borderId="29" xfId="0" applyNumberFormat="1" applyFont="1" applyFill="1" applyBorder="1"/>
    <xf numFmtId="9" fontId="20" fillId="3" borderId="14" xfId="0" applyNumberFormat="1" applyFont="1" applyFill="1" applyBorder="1" applyAlignment="1">
      <alignment horizontal="center"/>
    </xf>
    <xf numFmtId="169" fontId="3" fillId="0" borderId="0" xfId="0" applyNumberFormat="1" applyFont="1"/>
    <xf numFmtId="10" fontId="3" fillId="0" borderId="0" xfId="0" applyNumberFormat="1" applyFont="1"/>
    <xf numFmtId="0" fontId="3" fillId="0" borderId="43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3" borderId="2" xfId="0" applyNumberFormat="1" applyFont="1" applyFill="1" applyBorder="1" applyAlignment="1">
      <alignment horizontal="centerContinuous"/>
    </xf>
    <xf numFmtId="164" fontId="3" fillId="3" borderId="0" xfId="0" applyNumberFormat="1" applyFont="1" applyFill="1" applyBorder="1" applyAlignment="1">
      <alignment horizontal="centerContinuous"/>
    </xf>
    <xf numFmtId="0" fontId="3" fillId="3" borderId="19" xfId="0" applyFont="1" applyFill="1" applyBorder="1" applyAlignment="1">
      <alignment horizontal="centerContinuous"/>
    </xf>
    <xf numFmtId="164" fontId="3" fillId="3" borderId="7" xfId="0" applyNumberFormat="1" applyFont="1" applyFill="1" applyBorder="1" applyAlignment="1">
      <alignment horizontal="centerContinuous"/>
    </xf>
    <xf numFmtId="164" fontId="3" fillId="3" borderId="15" xfId="0" applyNumberFormat="1" applyFont="1" applyFill="1" applyBorder="1" applyAlignment="1">
      <alignment horizontal="centerContinuous"/>
    </xf>
    <xf numFmtId="0" fontId="3" fillId="3" borderId="20" xfId="0" applyFont="1" applyFill="1" applyBorder="1" applyAlignment="1">
      <alignment horizontal="centerContinuous"/>
    </xf>
    <xf numFmtId="0" fontId="5" fillId="0" borderId="3" xfId="0" applyFont="1" applyBorder="1"/>
    <xf numFmtId="164" fontId="3" fillId="3" borderId="3" xfId="0" applyNumberFormat="1" applyFont="1" applyFill="1" applyBorder="1" applyAlignment="1">
      <alignment horizontal="centerContinuous"/>
    </xf>
    <xf numFmtId="0" fontId="3" fillId="3" borderId="4" xfId="0" applyFont="1" applyFill="1" applyBorder="1" applyAlignment="1">
      <alignment horizontal="centerContinuous"/>
    </xf>
    <xf numFmtId="0" fontId="3" fillId="3" borderId="44" xfId="0" applyFont="1" applyFill="1" applyBorder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164" fontId="3" fillId="0" borderId="0" xfId="0" applyNumberFormat="1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4" fillId="0" borderId="3" xfId="0" applyFont="1" applyBorder="1"/>
    <xf numFmtId="0" fontId="4" fillId="0" borderId="0" xfId="0" applyFont="1" applyBorder="1"/>
    <xf numFmtId="0" fontId="3" fillId="3" borderId="3" xfId="0" applyFont="1" applyFill="1" applyBorder="1" applyAlignment="1">
      <alignment horizontal="centerContinuous"/>
    </xf>
    <xf numFmtId="0" fontId="3" fillId="3" borderId="14" xfId="0" applyFont="1" applyFill="1" applyBorder="1" applyAlignment="1">
      <alignment horizontal="centerContinuous"/>
    </xf>
    <xf numFmtId="0" fontId="6" fillId="0" borderId="3" xfId="0" applyFont="1" applyBorder="1"/>
    <xf numFmtId="164" fontId="5" fillId="3" borderId="3" xfId="0" applyNumberFormat="1" applyFont="1" applyFill="1" applyBorder="1" applyAlignment="1">
      <alignment horizontal="centerContinuous"/>
    </xf>
    <xf numFmtId="0" fontId="5" fillId="3" borderId="4" xfId="0" applyFont="1" applyFill="1" applyBorder="1" applyAlignment="1">
      <alignment horizontal="centerContinuous"/>
    </xf>
    <xf numFmtId="0" fontId="5" fillId="3" borderId="44" xfId="0" applyFont="1" applyFill="1" applyBorder="1" applyAlignment="1">
      <alignment horizontal="centerContinuous"/>
    </xf>
    <xf numFmtId="164" fontId="3" fillId="0" borderId="0" xfId="0" applyNumberFormat="1" applyFont="1" applyFill="1" applyBorder="1" applyAlignment="1">
      <alignment horizontal="centerContinuous"/>
    </xf>
    <xf numFmtId="0" fontId="3" fillId="4" borderId="0" xfId="0" applyFont="1" applyFill="1" applyAlignment="1">
      <alignment horizontal="centerContinuous"/>
    </xf>
    <xf numFmtId="0" fontId="5" fillId="0" borderId="15" xfId="0" applyFont="1" applyBorder="1" applyAlignment="1">
      <alignment horizontal="right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9" fontId="3" fillId="3" borderId="2" xfId="1" applyFont="1" applyFill="1" applyBorder="1"/>
    <xf numFmtId="1" fontId="3" fillId="3" borderId="2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9" xfId="0" applyFont="1" applyFill="1" applyBorder="1" applyAlignment="1"/>
    <xf numFmtId="0" fontId="0" fillId="2" borderId="33" xfId="0" applyFill="1" applyBorder="1"/>
    <xf numFmtId="0" fontId="7" fillId="0" borderId="0" xfId="0" applyFont="1"/>
    <xf numFmtId="0" fontId="5" fillId="2" borderId="15" xfId="0" applyFont="1" applyFill="1" applyBorder="1" applyAlignment="1">
      <alignment horizontal="center"/>
    </xf>
    <xf numFmtId="2" fontId="3" fillId="4" borderId="0" xfId="0" applyNumberFormat="1" applyFont="1" applyFill="1"/>
    <xf numFmtId="0" fontId="3" fillId="4" borderId="31" xfId="0" applyFont="1" applyFill="1" applyBorder="1"/>
    <xf numFmtId="0" fontId="3" fillId="4" borderId="0" xfId="0" applyFont="1" applyFill="1" applyBorder="1"/>
    <xf numFmtId="0" fontId="3" fillId="4" borderId="19" xfId="0" applyFont="1" applyFill="1" applyBorder="1"/>
    <xf numFmtId="0" fontId="3" fillId="4" borderId="44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centerContinuous"/>
    </xf>
    <xf numFmtId="0" fontId="0" fillId="4" borderId="0" xfId="0" applyFill="1"/>
    <xf numFmtId="0" fontId="3" fillId="4" borderId="0" xfId="0" applyFont="1" applyFill="1" applyAlignment="1">
      <alignment horizontal="right"/>
    </xf>
    <xf numFmtId="2" fontId="3" fillId="4" borderId="0" xfId="0" applyNumberFormat="1" applyFont="1" applyFill="1" applyBorder="1"/>
    <xf numFmtId="2" fontId="3" fillId="4" borderId="4" xfId="0" applyNumberFormat="1" applyFont="1" applyFill="1" applyBorder="1"/>
    <xf numFmtId="2" fontId="3" fillId="4" borderId="1" xfId="0" applyNumberFormat="1" applyFont="1" applyFill="1" applyBorder="1"/>
    <xf numFmtId="2" fontId="3" fillId="4" borderId="2" xfId="0" applyNumberFormat="1" applyFont="1" applyFill="1" applyBorder="1"/>
    <xf numFmtId="2" fontId="3" fillId="4" borderId="19" xfId="0" applyNumberFormat="1" applyFont="1" applyFill="1" applyBorder="1"/>
    <xf numFmtId="2" fontId="3" fillId="4" borderId="3" xfId="0" applyNumberFormat="1" applyFont="1" applyFill="1" applyBorder="1"/>
    <xf numFmtId="164" fontId="24" fillId="3" borderId="45" xfId="0" applyNumberFormat="1" applyFont="1" applyFill="1" applyBorder="1"/>
    <xf numFmtId="0" fontId="3" fillId="0" borderId="2" xfId="0" applyFont="1" applyBorder="1" applyProtection="1">
      <protection locked="0"/>
    </xf>
    <xf numFmtId="164" fontId="3" fillId="0" borderId="13" xfId="0" applyNumberFormat="1" applyFont="1" applyBorder="1" applyProtection="1">
      <protection locked="0"/>
    </xf>
    <xf numFmtId="0" fontId="3" fillId="0" borderId="3" xfId="0" applyFont="1" applyBorder="1" applyProtection="1">
      <protection locked="0"/>
    </xf>
    <xf numFmtId="164" fontId="3" fillId="0" borderId="12" xfId="0" applyNumberFormat="1" applyFont="1" applyBorder="1" applyProtection="1">
      <protection locked="0"/>
    </xf>
    <xf numFmtId="2" fontId="3" fillId="3" borderId="18" xfId="0" applyNumberFormat="1" applyFont="1" applyFill="1" applyBorder="1" applyAlignment="1">
      <alignment horizontal="center"/>
    </xf>
    <xf numFmtId="164" fontId="3" fillId="3" borderId="45" xfId="0" applyNumberFormat="1" applyFont="1" applyFill="1" applyBorder="1"/>
    <xf numFmtId="171" fontId="3" fillId="3" borderId="6" xfId="1" applyNumberFormat="1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5" fillId="2" borderId="20" xfId="0" applyFont="1" applyFill="1" applyBorder="1" applyAlignment="1">
      <alignment horizontal="centerContinuous"/>
    </xf>
    <xf numFmtId="0" fontId="9" fillId="0" borderId="0" xfId="0" applyFont="1"/>
    <xf numFmtId="0" fontId="1" fillId="4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1" fontId="24" fillId="4" borderId="0" xfId="0" applyNumberFormat="1" applyFont="1" applyFill="1" applyBorder="1" applyAlignment="1" applyProtection="1">
      <alignment horizontal="center"/>
    </xf>
    <xf numFmtId="0" fontId="5" fillId="0" borderId="0" xfId="1" applyNumberFormat="1" applyFont="1" applyFill="1"/>
    <xf numFmtId="0" fontId="3" fillId="4" borderId="36" xfId="0" applyFont="1" applyFill="1" applyBorder="1"/>
    <xf numFmtId="0" fontId="3" fillId="4" borderId="23" xfId="0" applyFont="1" applyFill="1" applyBorder="1"/>
    <xf numFmtId="0" fontId="3" fillId="4" borderId="37" xfId="0" applyFont="1" applyFill="1" applyBorder="1"/>
    <xf numFmtId="0" fontId="3" fillId="4" borderId="34" xfId="0" applyFont="1" applyFill="1" applyBorder="1"/>
    <xf numFmtId="0" fontId="3" fillId="4" borderId="46" xfId="0" applyFont="1" applyFill="1" applyBorder="1"/>
    <xf numFmtId="2" fontId="3" fillId="4" borderId="46" xfId="0" applyNumberFormat="1" applyFont="1" applyFill="1" applyBorder="1"/>
    <xf numFmtId="0" fontId="3" fillId="4" borderId="24" xfId="0" applyFont="1" applyFill="1" applyBorder="1"/>
    <xf numFmtId="0" fontId="3" fillId="4" borderId="15" xfId="0" applyFont="1" applyFill="1" applyBorder="1"/>
    <xf numFmtId="2" fontId="3" fillId="4" borderId="15" xfId="0" applyNumberFormat="1" applyFont="1" applyFill="1" applyBorder="1"/>
    <xf numFmtId="2" fontId="3" fillId="4" borderId="38" xfId="0" applyNumberFormat="1" applyFont="1" applyFill="1" applyBorder="1"/>
    <xf numFmtId="0" fontId="16" fillId="4" borderId="0" xfId="0" applyFont="1" applyFill="1"/>
    <xf numFmtId="0" fontId="8" fillId="3" borderId="2" xfId="0" applyNumberFormat="1" applyFont="1" applyFill="1" applyBorder="1" applyAlignment="1">
      <alignment horizontal="center"/>
    </xf>
    <xf numFmtId="0" fontId="8" fillId="3" borderId="12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/>
    <xf numFmtId="0" fontId="3" fillId="3" borderId="12" xfId="0" applyNumberFormat="1" applyFont="1" applyFill="1" applyBorder="1" applyAlignment="1"/>
    <xf numFmtId="164" fontId="3" fillId="3" borderId="2" xfId="0" applyNumberFormat="1" applyFont="1" applyFill="1" applyBorder="1" applyAlignment="1"/>
    <xf numFmtId="2" fontId="3" fillId="3" borderId="12" xfId="0" applyNumberFormat="1" applyFont="1" applyFill="1" applyBorder="1" applyAlignment="1">
      <alignment horizontal="center"/>
    </xf>
    <xf numFmtId="164" fontId="3" fillId="3" borderId="47" xfId="0" applyNumberFormat="1" applyFont="1" applyFill="1" applyBorder="1" applyAlignment="1">
      <alignment horizontal="centerContinuous"/>
    </xf>
    <xf numFmtId="164" fontId="3" fillId="3" borderId="19" xfId="0" applyNumberFormat="1" applyFont="1" applyFill="1" applyBorder="1" applyAlignment="1">
      <alignment horizontal="centerContinuous"/>
    </xf>
    <xf numFmtId="164" fontId="3" fillId="3" borderId="23" xfId="0" applyNumberFormat="1" applyFont="1" applyFill="1" applyBorder="1" applyAlignment="1">
      <alignment horizontal="centerContinuous"/>
    </xf>
    <xf numFmtId="0" fontId="3" fillId="3" borderId="48" xfId="0" applyNumberFormat="1" applyFont="1" applyFill="1" applyBorder="1" applyAlignment="1"/>
    <xf numFmtId="164" fontId="3" fillId="3" borderId="20" xfId="0" applyNumberFormat="1" applyFont="1" applyFill="1" applyBorder="1" applyAlignment="1">
      <alignment horizontal="centerContinuous"/>
    </xf>
    <xf numFmtId="164" fontId="3" fillId="3" borderId="12" xfId="0" applyNumberFormat="1" applyFont="1" applyFill="1" applyBorder="1" applyAlignment="1"/>
    <xf numFmtId="3" fontId="5" fillId="3" borderId="45" xfId="0" applyNumberFormat="1" applyFont="1" applyFill="1" applyBorder="1"/>
    <xf numFmtId="0" fontId="5" fillId="2" borderId="4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/>
    </xf>
    <xf numFmtId="0" fontId="5" fillId="2" borderId="31" xfId="0" applyFont="1" applyFill="1" applyBorder="1" applyAlignment="1">
      <alignment horizontal="centerContinuous"/>
    </xf>
    <xf numFmtId="0" fontId="5" fillId="2" borderId="14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1" fontId="5" fillId="0" borderId="0" xfId="0" applyNumberFormat="1" applyFont="1" applyFill="1" applyBorder="1"/>
    <xf numFmtId="10" fontId="5" fillId="0" borderId="0" xfId="1" applyNumberFormat="1" applyFont="1" applyFill="1" applyBorder="1"/>
    <xf numFmtId="1" fontId="3" fillId="3" borderId="5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6" fontId="3" fillId="4" borderId="0" xfId="1" applyNumberFormat="1" applyFont="1" applyFill="1" applyBorder="1"/>
    <xf numFmtId="166" fontId="3" fillId="4" borderId="15" xfId="1" applyNumberFormat="1" applyFont="1" applyFill="1" applyBorder="1"/>
    <xf numFmtId="9" fontId="3" fillId="0" borderId="0" xfId="1" applyFont="1"/>
    <xf numFmtId="1" fontId="17" fillId="3" borderId="12" xfId="0" applyNumberFormat="1" applyFont="1" applyFill="1" applyBorder="1" applyAlignment="1">
      <alignment horizontal="center"/>
    </xf>
    <xf numFmtId="10" fontId="5" fillId="3" borderId="13" xfId="0" applyNumberFormat="1" applyFont="1" applyFill="1" applyBorder="1"/>
    <xf numFmtId="1" fontId="5" fillId="3" borderId="13" xfId="0" applyNumberFormat="1" applyFont="1" applyFill="1" applyBorder="1" applyAlignment="1">
      <alignment horizontal="center"/>
    </xf>
    <xf numFmtId="9" fontId="17" fillId="3" borderId="12" xfId="0" applyNumberFormat="1" applyFont="1" applyFill="1" applyBorder="1"/>
    <xf numFmtId="9" fontId="17" fillId="0" borderId="45" xfId="0" applyNumberFormat="1" applyFont="1" applyBorder="1"/>
    <xf numFmtId="9" fontId="3" fillId="4" borderId="0" xfId="1" applyFont="1" applyFill="1"/>
    <xf numFmtId="10" fontId="3" fillId="4" borderId="0" xfId="1" applyNumberFormat="1" applyFont="1" applyFill="1"/>
    <xf numFmtId="3" fontId="3" fillId="3" borderId="26" xfId="0" applyNumberFormat="1" applyFont="1" applyFill="1" applyBorder="1" applyAlignment="1">
      <alignment horizontal="right"/>
    </xf>
    <xf numFmtId="3" fontId="5" fillId="3" borderId="14" xfId="0" applyNumberFormat="1" applyFont="1" applyFill="1" applyBorder="1" applyAlignment="1">
      <alignment horizontal="right"/>
    </xf>
    <xf numFmtId="10" fontId="5" fillId="3" borderId="13" xfId="1" applyNumberFormat="1" applyFont="1" applyFill="1" applyBorder="1" applyAlignment="1">
      <alignment horizontal="center"/>
    </xf>
    <xf numFmtId="10" fontId="5" fillId="3" borderId="14" xfId="1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Continuous"/>
    </xf>
    <xf numFmtId="10" fontId="5" fillId="3" borderId="19" xfId="1" applyNumberFormat="1" applyFont="1" applyFill="1" applyBorder="1" applyAlignment="1">
      <alignment horizontal="centerContinuous"/>
    </xf>
    <xf numFmtId="9" fontId="5" fillId="3" borderId="3" xfId="1" applyNumberFormat="1" applyFont="1" applyFill="1" applyBorder="1" applyAlignment="1">
      <alignment horizontal="centerContinuous"/>
    </xf>
    <xf numFmtId="1" fontId="5" fillId="3" borderId="43" xfId="0" applyNumberFormat="1" applyFont="1" applyFill="1" applyBorder="1" applyAlignment="1">
      <alignment horizontal="center"/>
    </xf>
    <xf numFmtId="164" fontId="3" fillId="3" borderId="6" xfId="0" applyNumberFormat="1" applyFont="1" applyFill="1" applyBorder="1"/>
    <xf numFmtId="164" fontId="25" fillId="3" borderId="6" xfId="1" applyNumberFormat="1" applyFont="1" applyFill="1" applyBorder="1"/>
    <xf numFmtId="10" fontId="25" fillId="0" borderId="0" xfId="1" applyNumberFormat="1" applyFont="1" applyFill="1" applyBorder="1" applyAlignment="1">
      <alignment horizontal="right"/>
    </xf>
    <xf numFmtId="0" fontId="5" fillId="2" borderId="33" xfId="0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Continuous"/>
    </xf>
    <xf numFmtId="1" fontId="5" fillId="3" borderId="19" xfId="0" applyNumberFormat="1" applyFont="1" applyFill="1" applyBorder="1" applyAlignment="1">
      <alignment horizontal="centerContinuous"/>
    </xf>
    <xf numFmtId="10" fontId="5" fillId="3" borderId="2" xfId="0" applyNumberFormat="1" applyFont="1" applyFill="1" applyBorder="1" applyAlignment="1">
      <alignment horizontal="centerContinuous"/>
    </xf>
    <xf numFmtId="10" fontId="5" fillId="3" borderId="19" xfId="0" applyNumberFormat="1" applyFont="1" applyFill="1" applyBorder="1" applyAlignment="1">
      <alignment horizontal="centerContinuous"/>
    </xf>
    <xf numFmtId="170" fontId="25" fillId="3" borderId="5" xfId="1" applyNumberFormat="1" applyFont="1" applyFill="1" applyBorder="1" applyAlignment="1">
      <alignment horizontal="centerContinuous"/>
    </xf>
    <xf numFmtId="170" fontId="25" fillId="3" borderId="22" xfId="1" applyNumberFormat="1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1" fontId="5" fillId="3" borderId="0" xfId="0" applyNumberFormat="1" applyFont="1" applyFill="1" applyBorder="1" applyAlignment="1">
      <alignment horizontal="centerContinuous"/>
    </xf>
    <xf numFmtId="10" fontId="5" fillId="3" borderId="0" xfId="0" applyNumberFormat="1" applyFont="1" applyFill="1" applyBorder="1" applyAlignment="1">
      <alignment horizontal="centerContinuous"/>
    </xf>
    <xf numFmtId="170" fontId="25" fillId="3" borderId="8" xfId="1" applyNumberFormat="1" applyFont="1" applyFill="1" applyBorder="1" applyAlignment="1">
      <alignment horizontal="centerContinuous"/>
    </xf>
    <xf numFmtId="2" fontId="3" fillId="3" borderId="2" xfId="0" applyNumberFormat="1" applyFont="1" applyFill="1" applyBorder="1" applyAlignment="1">
      <alignment horizontal="centerContinuous"/>
    </xf>
    <xf numFmtId="2" fontId="3" fillId="3" borderId="19" xfId="0" applyNumberFormat="1" applyFont="1" applyFill="1" applyBorder="1" applyAlignment="1">
      <alignment horizontal="centerContinuous"/>
    </xf>
    <xf numFmtId="2" fontId="3" fillId="3" borderId="47" xfId="0" applyNumberFormat="1" applyFont="1" applyFill="1" applyBorder="1" applyAlignment="1">
      <alignment horizontal="centerContinuous"/>
    </xf>
    <xf numFmtId="2" fontId="3" fillId="3" borderId="51" xfId="0" applyNumberFormat="1" applyFont="1" applyFill="1" applyBorder="1" applyAlignment="1">
      <alignment horizontal="centerContinuous"/>
    </xf>
    <xf numFmtId="0" fontId="8" fillId="2" borderId="7" xfId="0" applyFont="1" applyFill="1" applyBorder="1" applyAlignment="1">
      <alignment horizontal="centerContinuous"/>
    </xf>
    <xf numFmtId="0" fontId="8" fillId="2" borderId="20" xfId="0" applyFont="1" applyFill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0" fontId="5" fillId="0" borderId="0" xfId="1" applyNumberFormat="1" applyFont="1" applyFill="1" applyBorder="1" applyAlignment="1">
      <alignment horizontal="center"/>
    </xf>
    <xf numFmtId="170" fontId="25" fillId="0" borderId="0" xfId="1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left"/>
    </xf>
    <xf numFmtId="10" fontId="3" fillId="0" borderId="0" xfId="1" applyNumberFormat="1" applyFont="1" applyFill="1" applyBorder="1" applyAlignment="1">
      <alignment horizontal="left"/>
    </xf>
    <xf numFmtId="0" fontId="3" fillId="0" borderId="0" xfId="0" applyFont="1" applyBorder="1" applyProtection="1">
      <protection locked="0"/>
    </xf>
    <xf numFmtId="165" fontId="9" fillId="0" borderId="21" xfId="0" applyNumberFormat="1" applyFont="1" applyBorder="1" applyProtection="1">
      <protection locked="0"/>
    </xf>
    <xf numFmtId="164" fontId="9" fillId="0" borderId="21" xfId="0" applyNumberFormat="1" applyFont="1" applyBorder="1" applyProtection="1">
      <protection locked="0"/>
    </xf>
    <xf numFmtId="10" fontId="9" fillId="0" borderId="21" xfId="1" applyNumberFormat="1" applyFont="1" applyBorder="1" applyProtection="1">
      <protection locked="0"/>
    </xf>
    <xf numFmtId="0" fontId="9" fillId="0" borderId="21" xfId="0" applyFont="1" applyBorder="1" applyAlignment="1" applyProtection="1">
      <alignment horizontal="center"/>
      <protection locked="0"/>
    </xf>
    <xf numFmtId="164" fontId="3" fillId="0" borderId="13" xfId="0" applyNumberFormat="1" applyFont="1" applyFill="1" applyBorder="1" applyProtection="1">
      <protection locked="0"/>
    </xf>
    <xf numFmtId="164" fontId="3" fillId="0" borderId="12" xfId="0" applyNumberFormat="1" applyFont="1" applyFill="1" applyBorder="1" applyProtection="1">
      <protection locked="0"/>
    </xf>
    <xf numFmtId="10" fontId="9" fillId="0" borderId="2" xfId="1" applyNumberFormat="1" applyFont="1" applyBorder="1" applyProtection="1">
      <protection locked="0"/>
    </xf>
    <xf numFmtId="10" fontId="9" fillId="0" borderId="2" xfId="1" applyNumberFormat="1" applyFont="1" applyBorder="1" applyAlignment="1" applyProtection="1">
      <alignment horizontal="center"/>
      <protection locked="0"/>
    </xf>
    <xf numFmtId="164" fontId="9" fillId="3" borderId="2" xfId="0" applyNumberFormat="1" applyFont="1" applyFill="1" applyBorder="1" applyAlignment="1">
      <alignment horizontal="centerContinuous"/>
    </xf>
    <xf numFmtId="164" fontId="9" fillId="3" borderId="19" xfId="0" applyNumberFormat="1" applyFont="1" applyFill="1" applyBorder="1" applyAlignment="1">
      <alignment horizontal="centerContinuous"/>
    </xf>
    <xf numFmtId="164" fontId="9" fillId="3" borderId="7" xfId="0" applyNumberFormat="1" applyFont="1" applyFill="1" applyBorder="1" applyAlignment="1">
      <alignment horizontal="centerContinuous"/>
    </xf>
    <xf numFmtId="164" fontId="9" fillId="3" borderId="20" xfId="0" applyNumberFormat="1" applyFont="1" applyFill="1" applyBorder="1" applyAlignment="1">
      <alignment horizontal="centerContinuous"/>
    </xf>
    <xf numFmtId="164" fontId="3" fillId="3" borderId="4" xfId="0" applyNumberFormat="1" applyFont="1" applyFill="1" applyBorder="1" applyAlignment="1">
      <alignment horizontal="centerContinuous"/>
    </xf>
    <xf numFmtId="164" fontId="3" fillId="3" borderId="44" xfId="0" applyNumberFormat="1" applyFont="1" applyFill="1" applyBorder="1" applyAlignment="1">
      <alignment horizontal="centerContinuous"/>
    </xf>
    <xf numFmtId="164" fontId="3" fillId="3" borderId="5" xfId="0" applyNumberFormat="1" applyFont="1" applyFill="1" applyBorder="1" applyAlignment="1">
      <alignment horizontal="centerContinuous"/>
    </xf>
    <xf numFmtId="164" fontId="3" fillId="3" borderId="8" xfId="0" applyNumberFormat="1" applyFont="1" applyFill="1" applyBorder="1" applyAlignment="1">
      <alignment horizontal="centerContinuous"/>
    </xf>
    <xf numFmtId="164" fontId="3" fillId="3" borderId="22" xfId="0" applyNumberFormat="1" applyFont="1" applyFill="1" applyBorder="1" applyAlignment="1">
      <alignment horizontal="centerContinuous"/>
    </xf>
    <xf numFmtId="170" fontId="3" fillId="3" borderId="2" xfId="0" applyNumberFormat="1" applyFont="1" applyFill="1" applyBorder="1" applyAlignment="1">
      <alignment horizontal="centerContinuous"/>
    </xf>
    <xf numFmtId="170" fontId="3" fillId="3" borderId="0" xfId="0" applyNumberFormat="1" applyFont="1" applyFill="1" applyBorder="1" applyAlignment="1">
      <alignment horizontal="centerContinuous"/>
    </xf>
    <xf numFmtId="170" fontId="3" fillId="3" borderId="19" xfId="0" applyNumberFormat="1" applyFont="1" applyFill="1" applyBorder="1" applyAlignment="1">
      <alignment horizontal="centerContinuous"/>
    </xf>
    <xf numFmtId="1" fontId="3" fillId="3" borderId="3" xfId="0" applyNumberFormat="1" applyFont="1" applyFill="1" applyBorder="1" applyAlignment="1">
      <alignment horizontal="centerContinuous"/>
    </xf>
    <xf numFmtId="1" fontId="3" fillId="3" borderId="44" xfId="0" applyNumberFormat="1" applyFont="1" applyFill="1" applyBorder="1" applyAlignment="1">
      <alignment horizontal="centerContinuous"/>
    </xf>
    <xf numFmtId="170" fontId="3" fillId="3" borderId="3" xfId="0" applyNumberFormat="1" applyFont="1" applyFill="1" applyBorder="1" applyAlignment="1">
      <alignment horizontal="centerContinuous"/>
    </xf>
    <xf numFmtId="170" fontId="3" fillId="3" borderId="4" xfId="0" applyNumberFormat="1" applyFont="1" applyFill="1" applyBorder="1" applyAlignment="1">
      <alignment horizontal="centerContinuous"/>
    </xf>
    <xf numFmtId="170" fontId="3" fillId="3" borderId="44" xfId="0" applyNumberFormat="1" applyFont="1" applyFill="1" applyBorder="1" applyAlignment="1">
      <alignment horizontal="centerContinuous"/>
    </xf>
    <xf numFmtId="170" fontId="25" fillId="0" borderId="0" xfId="1" applyNumberFormat="1" applyFont="1" applyFill="1" applyBorder="1" applyAlignment="1">
      <alignment horizontal="centerContinuous"/>
    </xf>
    <xf numFmtId="164" fontId="9" fillId="0" borderId="0" xfId="0" applyNumberFormat="1" applyFont="1" applyFill="1" applyBorder="1" applyAlignment="1"/>
    <xf numFmtId="0" fontId="5" fillId="2" borderId="9" xfId="0" applyFont="1" applyFill="1" applyBorder="1" applyAlignment="1">
      <alignment horizontal="centerContinuous"/>
    </xf>
    <xf numFmtId="0" fontId="5" fillId="2" borderId="49" xfId="0" applyFont="1" applyFill="1" applyBorder="1" applyAlignment="1">
      <alignment horizontal="centerContinuous"/>
    </xf>
    <xf numFmtId="0" fontId="5" fillId="2" borderId="33" xfId="0" applyFont="1" applyFill="1" applyBorder="1" applyAlignment="1">
      <alignment horizontal="centerContinuous"/>
    </xf>
    <xf numFmtId="0" fontId="3" fillId="3" borderId="47" xfId="0" applyNumberFormat="1" applyFont="1" applyFill="1" applyBorder="1" applyAlignment="1">
      <alignment horizontal="left"/>
    </xf>
    <xf numFmtId="0" fontId="3" fillId="3" borderId="23" xfId="0" applyNumberFormat="1" applyFont="1" applyFill="1" applyBorder="1" applyAlignment="1">
      <alignment horizontal="left"/>
    </xf>
    <xf numFmtId="0" fontId="3" fillId="3" borderId="0" xfId="0" applyNumberFormat="1" applyFont="1" applyFill="1" applyBorder="1" applyAlignment="1">
      <alignment horizontal="left"/>
    </xf>
    <xf numFmtId="0" fontId="3" fillId="3" borderId="2" xfId="0" applyNumberFormat="1" applyFont="1" applyFill="1" applyBorder="1" applyAlignment="1">
      <alignment horizontal="left"/>
    </xf>
    <xf numFmtId="0" fontId="8" fillId="3" borderId="48" xfId="0" applyNumberFormat="1" applyFont="1" applyFill="1" applyBorder="1" applyAlignment="1">
      <alignment horizontal="center"/>
    </xf>
    <xf numFmtId="0" fontId="8" fillId="3" borderId="13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8" fillId="3" borderId="7" xfId="0" applyNumberFormat="1" applyFont="1" applyFill="1" applyBorder="1" applyAlignment="1">
      <alignment horizontal="center"/>
    </xf>
    <xf numFmtId="0" fontId="3" fillId="3" borderId="7" xfId="0" applyNumberFormat="1" applyFont="1" applyFill="1" applyBorder="1" applyAlignment="1">
      <alignment horizontal="left"/>
    </xf>
    <xf numFmtId="0" fontId="3" fillId="3" borderId="15" xfId="0" applyNumberFormat="1" applyFont="1" applyFill="1" applyBorder="1" applyAlignment="1">
      <alignment horizontal="left"/>
    </xf>
    <xf numFmtId="0" fontId="25" fillId="3" borderId="2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left" textRotation="90"/>
    </xf>
    <xf numFmtId="0" fontId="13" fillId="2" borderId="12" xfId="0" applyFont="1" applyFill="1" applyBorder="1" applyAlignment="1">
      <alignment horizontal="left" textRotation="90"/>
    </xf>
    <xf numFmtId="170" fontId="3" fillId="3" borderId="47" xfId="0" applyNumberFormat="1" applyFont="1" applyFill="1" applyBorder="1" applyAlignment="1">
      <alignment horizontal="centerContinuous"/>
    </xf>
    <xf numFmtId="170" fontId="3" fillId="3" borderId="23" xfId="0" applyNumberFormat="1" applyFont="1" applyFill="1" applyBorder="1" applyAlignment="1">
      <alignment horizontal="centerContinuous"/>
    </xf>
    <xf numFmtId="0" fontId="5" fillId="2" borderId="7" xfId="0" applyFont="1" applyFill="1" applyBorder="1" applyAlignment="1">
      <alignment horizontal="centerContinuous" wrapText="1"/>
    </xf>
    <xf numFmtId="0" fontId="5" fillId="2" borderId="20" xfId="0" applyFont="1" applyFill="1" applyBorder="1" applyAlignment="1">
      <alignment horizontal="centerContinuous" wrapText="1"/>
    </xf>
    <xf numFmtId="0" fontId="8" fillId="2" borderId="12" xfId="0" applyFont="1" applyFill="1" applyBorder="1" applyAlignment="1">
      <alignment horizontal="centerContinuous" wrapText="1"/>
    </xf>
    <xf numFmtId="1" fontId="5" fillId="0" borderId="0" xfId="0" applyNumberFormat="1" applyFont="1" applyFill="1" applyBorder="1" applyAlignment="1">
      <alignment horizontal="centerContinuous"/>
    </xf>
    <xf numFmtId="0" fontId="8" fillId="2" borderId="15" xfId="0" applyFont="1" applyFill="1" applyBorder="1" applyAlignment="1">
      <alignment horizontal="centerContinuous"/>
    </xf>
    <xf numFmtId="164" fontId="9" fillId="3" borderId="0" xfId="0" applyNumberFormat="1" applyFont="1" applyFill="1" applyBorder="1" applyAlignment="1">
      <alignment horizontal="centerContinuous"/>
    </xf>
    <xf numFmtId="164" fontId="9" fillId="3" borderId="15" xfId="0" applyNumberFormat="1" applyFont="1" applyFill="1" applyBorder="1" applyAlignment="1">
      <alignment horizontal="centerContinuous"/>
    </xf>
    <xf numFmtId="170" fontId="9" fillId="3" borderId="2" xfId="0" applyNumberFormat="1" applyFont="1" applyFill="1" applyBorder="1" applyAlignment="1">
      <alignment horizontal="centerContinuous"/>
    </xf>
    <xf numFmtId="170" fontId="9" fillId="3" borderId="47" xfId="0" applyNumberFormat="1" applyFont="1" applyFill="1" applyBorder="1" applyAlignment="1">
      <alignment horizontal="centerContinuous"/>
    </xf>
    <xf numFmtId="170" fontId="9" fillId="3" borderId="51" xfId="0" applyNumberFormat="1" applyFont="1" applyFill="1" applyBorder="1" applyAlignment="1">
      <alignment horizontal="centerContinuous"/>
    </xf>
    <xf numFmtId="170" fontId="9" fillId="3" borderId="19" xfId="0" applyNumberFormat="1" applyFont="1" applyFill="1" applyBorder="1" applyAlignment="1">
      <alignment horizontal="centerContinuous"/>
    </xf>
    <xf numFmtId="1" fontId="5" fillId="3" borderId="13" xfId="0" applyNumberFormat="1" applyFont="1" applyFill="1" applyBorder="1" applyAlignment="1">
      <alignment horizontal="centerContinuous"/>
    </xf>
    <xf numFmtId="0" fontId="3" fillId="4" borderId="0" xfId="0" applyFont="1" applyFill="1" applyBorder="1" applyAlignment="1">
      <alignment textRotation="90"/>
    </xf>
    <xf numFmtId="0" fontId="3" fillId="3" borderId="13" xfId="0" applyFont="1" applyFill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9" fontId="16" fillId="3" borderId="6" xfId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0" fontId="25" fillId="0" borderId="0" xfId="0" applyFont="1" applyAlignment="1">
      <alignment horizontal="centerContinuous"/>
    </xf>
    <xf numFmtId="10" fontId="5" fillId="3" borderId="21" xfId="1" applyNumberFormat="1" applyFont="1" applyFill="1" applyBorder="1" applyAlignment="1">
      <alignment horizontal="center"/>
    </xf>
    <xf numFmtId="1" fontId="3" fillId="0" borderId="0" xfId="0" applyNumberFormat="1" applyFont="1" applyFill="1"/>
    <xf numFmtId="9" fontId="3" fillId="0" borderId="0" xfId="0" applyNumberFormat="1" applyFont="1" applyFill="1"/>
    <xf numFmtId="0" fontId="26" fillId="3" borderId="6" xfId="0" applyNumberFormat="1" applyFont="1" applyFill="1" applyBorder="1" applyAlignment="1">
      <alignment horizontal="center" wrapText="1"/>
    </xf>
    <xf numFmtId="0" fontId="9" fillId="3" borderId="14" xfId="0" applyNumberFormat="1" applyFont="1" applyFill="1" applyBorder="1" applyAlignment="1"/>
    <xf numFmtId="0" fontId="9" fillId="3" borderId="43" xfId="0" applyNumberFormat="1" applyFont="1" applyFill="1" applyBorder="1" applyAlignment="1">
      <alignment horizontal="center"/>
    </xf>
    <xf numFmtId="2" fontId="26" fillId="3" borderId="13" xfId="0" applyNumberFormat="1" applyFont="1" applyFill="1" applyBorder="1" applyAlignment="1"/>
    <xf numFmtId="2" fontId="26" fillId="3" borderId="14" xfId="0" applyNumberFormat="1" applyFont="1" applyFill="1" applyBorder="1" applyAlignment="1"/>
    <xf numFmtId="0" fontId="13" fillId="2" borderId="10" xfId="0" applyFont="1" applyFill="1" applyBorder="1" applyAlignment="1">
      <alignment textRotation="90"/>
    </xf>
    <xf numFmtId="0" fontId="5" fillId="2" borderId="10" xfId="0" applyFont="1" applyFill="1" applyBorder="1" applyAlignment="1">
      <alignment horizontal="right" vertical="center"/>
    </xf>
    <xf numFmtId="0" fontId="25" fillId="3" borderId="48" xfId="0" applyNumberFormat="1" applyFont="1" applyFill="1" applyBorder="1" applyAlignment="1">
      <alignment horizontal="center"/>
    </xf>
    <xf numFmtId="0" fontId="25" fillId="3" borderId="13" xfId="0" applyNumberFormat="1" applyFont="1" applyFill="1" applyBorder="1" applyAlignment="1">
      <alignment horizontal="center"/>
    </xf>
    <xf numFmtId="0" fontId="25" fillId="3" borderId="12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/>
    </xf>
    <xf numFmtId="0" fontId="12" fillId="0" borderId="4" xfId="0" applyFont="1" applyBorder="1"/>
    <xf numFmtId="0" fontId="8" fillId="3" borderId="52" xfId="0" applyNumberFormat="1" applyFont="1" applyFill="1" applyBorder="1" applyAlignment="1">
      <alignment horizontal="center"/>
    </xf>
    <xf numFmtId="0" fontId="8" fillId="3" borderId="29" xfId="0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>
      <alignment horizontal="left"/>
    </xf>
    <xf numFmtId="0" fontId="28" fillId="0" borderId="0" xfId="0" applyFont="1" applyBorder="1" applyAlignment="1">
      <alignment horizontal="center"/>
    </xf>
    <xf numFmtId="2" fontId="28" fillId="0" borderId="0" xfId="0" applyNumberFormat="1" applyFont="1" applyBorder="1" applyAlignment="1">
      <alignment horizontal="center"/>
    </xf>
    <xf numFmtId="0" fontId="29" fillId="0" borderId="0" xfId="0" applyNumberFormat="1" applyFont="1" applyFill="1" applyBorder="1" applyAlignment="1">
      <alignment horizontal="right"/>
    </xf>
    <xf numFmtId="2" fontId="27" fillId="0" borderId="0" xfId="0" applyNumberFormat="1" applyFont="1" applyBorder="1" applyAlignment="1">
      <alignment horizontal="center"/>
    </xf>
    <xf numFmtId="0" fontId="29" fillId="0" borderId="0" xfId="0" applyNumberFormat="1" applyFont="1" applyFill="1" applyBorder="1" applyAlignment="1">
      <alignment horizontal="center"/>
    </xf>
    <xf numFmtId="170" fontId="3" fillId="3" borderId="7" xfId="0" applyNumberFormat="1" applyFont="1" applyFill="1" applyBorder="1" applyAlignment="1">
      <alignment horizontal="centerContinuous"/>
    </xf>
    <xf numFmtId="170" fontId="3" fillId="3" borderId="15" xfId="0" applyNumberFormat="1" applyFont="1" applyFill="1" applyBorder="1" applyAlignment="1">
      <alignment horizontal="centerContinuous"/>
    </xf>
    <xf numFmtId="170" fontId="9" fillId="3" borderId="7" xfId="0" applyNumberFormat="1" applyFont="1" applyFill="1" applyBorder="1" applyAlignment="1">
      <alignment horizontal="centerContinuous"/>
    </xf>
    <xf numFmtId="170" fontId="9" fillId="3" borderId="20" xfId="0" applyNumberFormat="1" applyFont="1" applyFill="1" applyBorder="1" applyAlignment="1">
      <alignment horizontal="centerContinuous"/>
    </xf>
    <xf numFmtId="1" fontId="5" fillId="3" borderId="12" xfId="0" applyNumberFormat="1" applyFont="1" applyFill="1" applyBorder="1" applyAlignment="1">
      <alignment horizontal="centerContinuous"/>
    </xf>
    <xf numFmtId="0" fontId="3" fillId="3" borderId="6" xfId="0" applyNumberFormat="1" applyFont="1" applyFill="1" applyBorder="1" applyAlignment="1">
      <alignment horizontal="right"/>
    </xf>
    <xf numFmtId="0" fontId="8" fillId="0" borderId="2" xfId="0" applyFont="1" applyFill="1" applyBorder="1"/>
    <xf numFmtId="2" fontId="3" fillId="0" borderId="0" xfId="0" applyNumberFormat="1" applyFont="1" applyFill="1"/>
    <xf numFmtId="0" fontId="9" fillId="0" borderId="0" xfId="0" applyFont="1" applyFill="1" applyBorder="1"/>
    <xf numFmtId="0" fontId="0" fillId="0" borderId="0" xfId="0" applyFill="1" applyBorder="1"/>
    <xf numFmtId="0" fontId="3" fillId="4" borderId="0" xfId="0" applyFont="1" applyFill="1" applyAlignment="1">
      <alignment textRotation="90"/>
    </xf>
    <xf numFmtId="3" fontId="3" fillId="0" borderId="0" xfId="0" applyNumberFormat="1" applyFont="1" applyFill="1"/>
    <xf numFmtId="0" fontId="5" fillId="0" borderId="4" xfId="0" applyFont="1" applyFill="1" applyBorder="1" applyAlignment="1">
      <alignment horizontal="centerContinuous"/>
    </xf>
    <xf numFmtId="0" fontId="3" fillId="0" borderId="44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30" fillId="3" borderId="48" xfId="0" applyNumberFormat="1" applyFont="1" applyFill="1" applyBorder="1" applyAlignment="1"/>
    <xf numFmtId="0" fontId="30" fillId="3" borderId="13" xfId="0" applyNumberFormat="1" applyFont="1" applyFill="1" applyBorder="1" applyAlignment="1"/>
    <xf numFmtId="0" fontId="30" fillId="3" borderId="12" xfId="0" applyNumberFormat="1" applyFont="1" applyFill="1" applyBorder="1" applyAlignment="1"/>
    <xf numFmtId="0" fontId="16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right"/>
    </xf>
    <xf numFmtId="167" fontId="7" fillId="0" borderId="0" xfId="0" applyNumberFormat="1" applyFont="1" applyBorder="1" applyAlignment="1">
      <alignment horizontal="centerContinuous"/>
    </xf>
    <xf numFmtId="0" fontId="8" fillId="3" borderId="6" xfId="0" applyFont="1" applyFill="1" applyBorder="1" applyAlignment="1">
      <alignment horizontal="centerContinuous"/>
    </xf>
    <xf numFmtId="1" fontId="5" fillId="0" borderId="15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3" fontId="8" fillId="0" borderId="0" xfId="0" applyNumberFormat="1" applyFont="1" applyAlignment="1">
      <alignment horizontal="right"/>
    </xf>
    <xf numFmtId="0" fontId="8" fillId="3" borderId="1" xfId="0" applyFont="1" applyFill="1" applyBorder="1" applyAlignment="1">
      <alignment horizontal="centerContinuous"/>
    </xf>
    <xf numFmtId="0" fontId="8" fillId="3" borderId="31" xfId="0" applyFont="1" applyFill="1" applyBorder="1" applyAlignment="1">
      <alignment horizontal="centerContinuous"/>
    </xf>
    <xf numFmtId="0" fontId="8" fillId="3" borderId="2" xfId="0" applyFont="1" applyFill="1" applyBorder="1" applyAlignment="1">
      <alignment horizontal="centerContinuous"/>
    </xf>
    <xf numFmtId="0" fontId="8" fillId="3" borderId="19" xfId="0" applyFont="1" applyFill="1" applyBorder="1" applyAlignment="1">
      <alignment horizontal="centerContinuous"/>
    </xf>
    <xf numFmtId="0" fontId="8" fillId="3" borderId="3" xfId="0" applyFont="1" applyFill="1" applyBorder="1" applyAlignment="1">
      <alignment horizontal="centerContinuous"/>
    </xf>
    <xf numFmtId="0" fontId="8" fillId="3" borderId="44" xfId="0" applyFont="1" applyFill="1" applyBorder="1" applyAlignment="1">
      <alignment horizontal="centerContinuous"/>
    </xf>
    <xf numFmtId="2" fontId="3" fillId="4" borderId="0" xfId="0" applyNumberFormat="1" applyFont="1" applyFill="1" applyBorder="1" applyAlignment="1"/>
    <xf numFmtId="2" fontId="3" fillId="4" borderId="4" xfId="0" applyNumberFormat="1" applyFont="1" applyFill="1" applyBorder="1" applyAlignment="1"/>
    <xf numFmtId="10" fontId="25" fillId="0" borderId="4" xfId="1" applyNumberFormat="1" applyFont="1" applyFill="1" applyBorder="1" applyAlignment="1">
      <alignment horizontal="right"/>
    </xf>
    <xf numFmtId="1" fontId="5" fillId="0" borderId="4" xfId="0" applyNumberFormat="1" applyFont="1" applyFill="1" applyBorder="1" applyAlignment="1">
      <alignment horizontal="centerContinuous"/>
    </xf>
    <xf numFmtId="0" fontId="5" fillId="2" borderId="9" xfId="0" applyFont="1" applyFill="1" applyBorder="1" applyAlignment="1"/>
    <xf numFmtId="0" fontId="5" fillId="2" borderId="33" xfId="0" applyFont="1" applyFill="1" applyBorder="1" applyAlignment="1"/>
    <xf numFmtId="0" fontId="3" fillId="3" borderId="2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3" fillId="0" borderId="20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12" fillId="0" borderId="0" xfId="0" applyFont="1" applyBorder="1"/>
    <xf numFmtId="0" fontId="3" fillId="4" borderId="0" xfId="0" applyFont="1" applyFill="1" applyAlignment="1">
      <alignment horizontal="center"/>
    </xf>
    <xf numFmtId="0" fontId="7" fillId="0" borderId="4" xfId="0" applyFont="1" applyBorder="1"/>
    <xf numFmtId="0" fontId="8" fillId="4" borderId="0" xfId="0" applyFont="1" applyFill="1"/>
    <xf numFmtId="0" fontId="8" fillId="4" borderId="34" xfId="0" applyFont="1" applyFill="1" applyBorder="1"/>
    <xf numFmtId="0" fontId="8" fillId="4" borderId="24" xfId="0" applyFont="1" applyFill="1" applyBorder="1"/>
    <xf numFmtId="0" fontId="3" fillId="3" borderId="7" xfId="0" applyNumberFormat="1" applyFont="1" applyFill="1" applyBorder="1" applyAlignment="1"/>
    <xf numFmtId="0" fontId="8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3" fillId="4" borderId="21" xfId="0" applyFont="1" applyFill="1" applyBorder="1" applyAlignment="1">
      <alignment horizontal="center"/>
    </xf>
    <xf numFmtId="164" fontId="3" fillId="0" borderId="0" xfId="2" applyFont="1" applyAlignment="1"/>
    <xf numFmtId="0" fontId="8" fillId="2" borderId="8" xfId="0" applyFont="1" applyFill="1" applyBorder="1"/>
    <xf numFmtId="164" fontId="3" fillId="3" borderId="20" xfId="0" applyNumberFormat="1" applyFont="1" applyFill="1" applyBorder="1"/>
    <xf numFmtId="164" fontId="3" fillId="4" borderId="0" xfId="0" applyNumberFormat="1" applyFont="1" applyFill="1"/>
    <xf numFmtId="164" fontId="3" fillId="3" borderId="53" xfId="0" applyNumberFormat="1" applyFont="1" applyFill="1" applyBorder="1"/>
    <xf numFmtId="164" fontId="3" fillId="3" borderId="10" xfId="0" applyNumberFormat="1" applyFont="1" applyFill="1" applyBorder="1"/>
    <xf numFmtId="0" fontId="20" fillId="3" borderId="6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right"/>
    </xf>
    <xf numFmtId="0" fontId="8" fillId="2" borderId="39" xfId="0" applyFont="1" applyFill="1" applyBorder="1"/>
    <xf numFmtId="0" fontId="8" fillId="2" borderId="54" xfId="0" applyFont="1" applyFill="1" applyBorder="1"/>
    <xf numFmtId="0" fontId="8" fillId="2" borderId="55" xfId="0" applyFont="1" applyFill="1" applyBorder="1" applyAlignment="1"/>
    <xf numFmtId="0" fontId="8" fillId="2" borderId="56" xfId="0" applyFont="1" applyFill="1" applyBorder="1" applyAlignment="1"/>
    <xf numFmtId="170" fontId="24" fillId="3" borderId="6" xfId="0" applyNumberFormat="1" applyFont="1" applyFill="1" applyBorder="1" applyAlignment="1"/>
    <xf numFmtId="170" fontId="13" fillId="3" borderId="6" xfId="0" applyNumberFormat="1" applyFont="1" applyFill="1" applyBorder="1" applyAlignment="1"/>
    <xf numFmtId="170" fontId="13" fillId="3" borderId="14" xfId="0" applyNumberFormat="1" applyFont="1" applyFill="1" applyBorder="1" applyAlignment="1"/>
    <xf numFmtId="0" fontId="20" fillId="0" borderId="0" xfId="0" applyFont="1" applyFill="1" applyBorder="1"/>
    <xf numFmtId="9" fontId="17" fillId="0" borderId="0" xfId="0" applyNumberFormat="1" applyFont="1" applyFill="1" applyBorder="1"/>
    <xf numFmtId="0" fontId="0" fillId="0" borderId="0" xfId="0" applyFill="1"/>
    <xf numFmtId="1" fontId="3" fillId="3" borderId="2" xfId="0" applyNumberFormat="1" applyFont="1" applyFill="1" applyBorder="1" applyAlignment="1">
      <alignment horizontal="right"/>
    </xf>
    <xf numFmtId="1" fontId="3" fillId="3" borderId="12" xfId="0" applyNumberFormat="1" applyFont="1" applyFill="1" applyBorder="1" applyAlignment="1">
      <alignment horizontal="right"/>
    </xf>
    <xf numFmtId="1" fontId="8" fillId="3" borderId="34" xfId="0" applyNumberFormat="1" applyFont="1" applyFill="1" applyBorder="1"/>
    <xf numFmtId="1" fontId="25" fillId="3" borderId="34" xfId="0" applyNumberFormat="1" applyFont="1" applyFill="1" applyBorder="1" applyAlignment="1">
      <alignment horizontal="center"/>
    </xf>
    <xf numFmtId="1" fontId="25" fillId="3" borderId="34" xfId="0" applyNumberFormat="1" applyFont="1" applyFill="1" applyBorder="1" applyAlignment="1">
      <alignment horizontal="right"/>
    </xf>
    <xf numFmtId="1" fontId="3" fillId="3" borderId="24" xfId="0" applyNumberFormat="1" applyFont="1" applyFill="1" applyBorder="1"/>
    <xf numFmtId="1" fontId="3" fillId="3" borderId="7" xfId="0" applyNumberFormat="1" applyFont="1" applyFill="1" applyBorder="1" applyAlignment="1">
      <alignment horizontal="right"/>
    </xf>
    <xf numFmtId="168" fontId="6" fillId="0" borderId="0" xfId="0" applyNumberFormat="1" applyFont="1"/>
    <xf numFmtId="0" fontId="8" fillId="4" borderId="0" xfId="0" applyFont="1" applyFill="1" applyAlignment="1">
      <alignment horizontal="center"/>
    </xf>
    <xf numFmtId="1" fontId="3" fillId="4" borderId="0" xfId="0" applyNumberFormat="1" applyFont="1" applyFill="1" applyBorder="1"/>
    <xf numFmtId="164" fontId="3" fillId="4" borderId="0" xfId="2" applyFont="1" applyFill="1" applyBorder="1" applyAlignment="1"/>
    <xf numFmtId="1" fontId="3" fillId="3" borderId="2" xfId="0" applyNumberFormat="1" applyFont="1" applyFill="1" applyBorder="1" applyAlignment="1">
      <alignment horizontal="center"/>
    </xf>
    <xf numFmtId="170" fontId="3" fillId="4" borderId="0" xfId="0" applyNumberFormat="1" applyFont="1" applyFill="1"/>
    <xf numFmtId="173" fontId="3" fillId="3" borderId="2" xfId="2" applyNumberFormat="1" applyFont="1" applyFill="1" applyBorder="1"/>
    <xf numFmtId="173" fontId="3" fillId="3" borderId="7" xfId="2" applyNumberFormat="1" applyFont="1" applyFill="1" applyBorder="1"/>
    <xf numFmtId="9" fontId="3" fillId="3" borderId="7" xfId="1" applyFont="1" applyFill="1" applyBorder="1"/>
    <xf numFmtId="164" fontId="3" fillId="3" borderId="57" xfId="2" applyFont="1" applyFill="1" applyBorder="1" applyAlignment="1">
      <alignment horizontal="right"/>
    </xf>
    <xf numFmtId="0" fontId="0" fillId="0" borderId="47" xfId="0" applyBorder="1"/>
    <xf numFmtId="173" fontId="16" fillId="0" borderId="0" xfId="2" applyNumberFormat="1" applyFont="1" applyFill="1" applyBorder="1"/>
    <xf numFmtId="170" fontId="3" fillId="0" borderId="0" xfId="0" applyNumberFormat="1" applyFont="1" applyFill="1" applyBorder="1"/>
    <xf numFmtId="10" fontId="3" fillId="0" borderId="0" xfId="1" applyNumberFormat="1" applyFont="1" applyFill="1" applyBorder="1"/>
    <xf numFmtId="0" fontId="5" fillId="3" borderId="18" xfId="0" applyFont="1" applyFill="1" applyBorder="1" applyAlignment="1">
      <alignment horizontal="center"/>
    </xf>
    <xf numFmtId="2" fontId="23" fillId="0" borderId="0" xfId="0" applyNumberFormat="1" applyFont="1" applyFill="1" applyBorder="1"/>
    <xf numFmtId="0" fontId="23" fillId="0" borderId="0" xfId="0" applyFont="1" applyFill="1" applyBorder="1"/>
    <xf numFmtId="3" fontId="3" fillId="0" borderId="0" xfId="0" applyNumberFormat="1" applyFont="1" applyFill="1" applyBorder="1"/>
    <xf numFmtId="0" fontId="3" fillId="3" borderId="47" xfId="0" applyFont="1" applyFill="1" applyBorder="1" applyAlignment="1">
      <alignment horizontal="center"/>
    </xf>
    <xf numFmtId="9" fontId="3" fillId="0" borderId="0" xfId="0" applyNumberFormat="1" applyFont="1"/>
    <xf numFmtId="0" fontId="3" fillId="0" borderId="0" xfId="0" applyFont="1" applyFill="1" applyBorder="1" applyAlignment="1">
      <alignment horizontal="center"/>
    </xf>
    <xf numFmtId="0" fontId="8" fillId="3" borderId="34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1" fontId="3" fillId="3" borderId="12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1" fontId="17" fillId="0" borderId="0" xfId="0" applyNumberFormat="1" applyFont="1" applyFill="1" applyBorder="1" applyAlignment="1">
      <alignment horizontal="center"/>
    </xf>
    <xf numFmtId="0" fontId="3" fillId="0" borderId="54" xfId="0" applyFont="1" applyFill="1" applyBorder="1" applyAlignment="1">
      <alignment horizontal="centerContinuous"/>
    </xf>
    <xf numFmtId="0" fontId="3" fillId="0" borderId="54" xfId="0" applyFont="1" applyBorder="1"/>
    <xf numFmtId="0" fontId="3" fillId="0" borderId="39" xfId="0" applyFont="1" applyBorder="1"/>
    <xf numFmtId="0" fontId="5" fillId="2" borderId="48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Continuous"/>
    </xf>
    <xf numFmtId="0" fontId="5" fillId="3" borderId="45" xfId="0" applyFont="1" applyFill="1" applyBorder="1" applyAlignment="1">
      <alignment horizontal="center"/>
    </xf>
    <xf numFmtId="9" fontId="3" fillId="3" borderId="18" xfId="0" applyNumberFormat="1" applyFont="1" applyFill="1" applyBorder="1" applyAlignment="1">
      <alignment horizontal="center"/>
    </xf>
    <xf numFmtId="170" fontId="17" fillId="3" borderId="14" xfId="0" applyNumberFormat="1" applyFont="1" applyFill="1" applyBorder="1"/>
    <xf numFmtId="1" fontId="21" fillId="3" borderId="3" xfId="0" applyNumberFormat="1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/>
    </xf>
    <xf numFmtId="3" fontId="3" fillId="4" borderId="0" xfId="0" applyNumberFormat="1" applyFont="1" applyFill="1" applyBorder="1"/>
    <xf numFmtId="4" fontId="3" fillId="4" borderId="0" xfId="0" applyNumberFormat="1" applyFont="1" applyFill="1" applyBorder="1"/>
    <xf numFmtId="4" fontId="3" fillId="4" borderId="4" xfId="0" applyNumberFormat="1" applyFont="1" applyFill="1" applyBorder="1"/>
    <xf numFmtId="4" fontId="8" fillId="4" borderId="0" xfId="0" applyNumberFormat="1" applyFont="1" applyFill="1" applyBorder="1"/>
    <xf numFmtId="0" fontId="16" fillId="4" borderId="0" xfId="0" applyFont="1" applyFill="1" applyAlignment="1">
      <alignment horizontal="center"/>
    </xf>
    <xf numFmtId="0" fontId="7" fillId="4" borderId="6" xfId="0" applyFont="1" applyFill="1" applyBorder="1" applyAlignment="1">
      <alignment horizontal="center"/>
    </xf>
    <xf numFmtId="164" fontId="3" fillId="0" borderId="0" xfId="2" applyFont="1" applyBorder="1"/>
    <xf numFmtId="9" fontId="9" fillId="0" borderId="21" xfId="1" applyFont="1" applyBorder="1" applyProtection="1">
      <protection locked="0"/>
    </xf>
    <xf numFmtId="0" fontId="3" fillId="0" borderId="0" xfId="0" applyFont="1" applyBorder="1" applyProtection="1"/>
    <xf numFmtId="0" fontId="3" fillId="0" borderId="3" xfId="0" applyFont="1" applyBorder="1" applyProtection="1"/>
    <xf numFmtId="2" fontId="3" fillId="0" borderId="2" xfId="0" applyNumberFormat="1" applyFont="1" applyBorder="1" applyAlignment="1" applyProtection="1">
      <alignment horizontal="center"/>
      <protection locked="0"/>
    </xf>
    <xf numFmtId="164" fontId="3" fillId="0" borderId="2" xfId="0" applyNumberFormat="1" applyFont="1" applyBorder="1" applyProtection="1">
      <protection locked="0"/>
    </xf>
    <xf numFmtId="1" fontId="3" fillId="0" borderId="2" xfId="0" applyNumberFormat="1" applyFont="1" applyBorder="1" applyProtection="1">
      <protection locked="0"/>
    </xf>
    <xf numFmtId="1" fontId="17" fillId="0" borderId="2" xfId="0" applyNumberFormat="1" applyFont="1" applyBorder="1" applyProtection="1">
      <protection locked="0"/>
    </xf>
    <xf numFmtId="0" fontId="17" fillId="0" borderId="2" xfId="0" applyFont="1" applyBorder="1" applyProtection="1">
      <protection locked="0"/>
    </xf>
    <xf numFmtId="0" fontId="3" fillId="0" borderId="7" xfId="0" applyFont="1" applyBorder="1" applyProtection="1">
      <protection locked="0"/>
    </xf>
    <xf numFmtId="2" fontId="3" fillId="0" borderId="7" xfId="0" applyNumberFormat="1" applyFont="1" applyBorder="1" applyAlignment="1" applyProtection="1">
      <alignment horizontal="center"/>
      <protection locked="0"/>
    </xf>
    <xf numFmtId="164" fontId="3" fillId="0" borderId="7" xfId="0" applyNumberFormat="1" applyFont="1" applyBorder="1" applyProtection="1">
      <protection locked="0"/>
    </xf>
    <xf numFmtId="0" fontId="17" fillId="0" borderId="7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5" fillId="2" borderId="6" xfId="0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8" fillId="3" borderId="58" xfId="0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centerContinuous"/>
    </xf>
    <xf numFmtId="0" fontId="3" fillId="4" borderId="0" xfId="0" applyNumberFormat="1" applyFont="1" applyFill="1"/>
    <xf numFmtId="0" fontId="3" fillId="3" borderId="59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169" fontId="25" fillId="3" borderId="16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9" fontId="7" fillId="0" borderId="21" xfId="1" applyFont="1" applyBorder="1" applyProtection="1">
      <protection locked="0"/>
    </xf>
    <xf numFmtId="0" fontId="7" fillId="0" borderId="60" xfId="0" applyFont="1" applyBorder="1" applyAlignment="1" applyProtection="1">
      <alignment horizontal="centerContinuous"/>
      <protection locked="0"/>
    </xf>
    <xf numFmtId="167" fontId="7" fillId="0" borderId="61" xfId="0" applyNumberFormat="1" applyFont="1" applyBorder="1" applyAlignment="1" applyProtection="1">
      <alignment horizontal="centerContinuous"/>
      <protection locked="0"/>
    </xf>
    <xf numFmtId="0" fontId="7" fillId="0" borderId="61" xfId="0" applyFont="1" applyBorder="1" applyAlignment="1" applyProtection="1">
      <alignment horizontal="centerContinuous"/>
      <protection locked="0"/>
    </xf>
    <xf numFmtId="0" fontId="7" fillId="0" borderId="62" xfId="0" applyFont="1" applyBorder="1" applyAlignment="1" applyProtection="1">
      <alignment horizontal="centerContinuous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164" fontId="10" fillId="0" borderId="21" xfId="0" applyNumberFormat="1" applyFont="1" applyBorder="1" applyProtection="1">
      <protection locked="0"/>
    </xf>
    <xf numFmtId="9" fontId="10" fillId="0" borderId="63" xfId="1" applyNumberFormat="1" applyFont="1" applyBorder="1" applyAlignment="1" applyProtection="1">
      <alignment horizontal="center"/>
      <protection locked="0"/>
    </xf>
    <xf numFmtId="9" fontId="13" fillId="0" borderId="46" xfId="1" applyFont="1" applyFill="1" applyBorder="1" applyAlignment="1" applyProtection="1">
      <alignment horizontal="center"/>
      <protection locked="0"/>
    </xf>
    <xf numFmtId="1" fontId="7" fillId="0" borderId="64" xfId="1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9" fontId="9" fillId="0" borderId="47" xfId="1" applyFont="1" applyBorder="1" applyAlignment="1" applyProtection="1">
      <alignment horizontal="center"/>
      <protection locked="0"/>
    </xf>
    <xf numFmtId="9" fontId="9" fillId="0" borderId="2" xfId="1" applyFont="1" applyBorder="1" applyAlignment="1" applyProtection="1">
      <alignment horizontal="center"/>
      <protection locked="0"/>
    </xf>
    <xf numFmtId="9" fontId="9" fillId="0" borderId="7" xfId="1" applyFont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/>
    </xf>
    <xf numFmtId="0" fontId="0" fillId="0" borderId="4" xfId="0" applyBorder="1"/>
    <xf numFmtId="9" fontId="10" fillId="0" borderId="21" xfId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15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167" fontId="16" fillId="0" borderId="14" xfId="0" applyNumberFormat="1" applyFont="1" applyBorder="1" applyAlignment="1" applyProtection="1">
      <alignment horizontal="right"/>
      <protection locked="0"/>
    </xf>
    <xf numFmtId="0" fontId="16" fillId="0" borderId="14" xfId="0" applyFont="1" applyBorder="1" applyAlignment="1" applyProtection="1">
      <alignment horizontal="right"/>
      <protection locked="0"/>
    </xf>
    <xf numFmtId="167" fontId="16" fillId="0" borderId="6" xfId="0" applyNumberFormat="1" applyFont="1" applyBorder="1" applyAlignment="1" applyProtection="1">
      <alignment horizontal="right"/>
      <protection locked="0"/>
    </xf>
    <xf numFmtId="0" fontId="16" fillId="0" borderId="6" xfId="0" applyFont="1" applyBorder="1" applyAlignment="1" applyProtection="1">
      <alignment horizontal="right"/>
      <protection locked="0"/>
    </xf>
    <xf numFmtId="167" fontId="16" fillId="0" borderId="43" xfId="0" applyNumberFormat="1" applyFont="1" applyBorder="1" applyAlignment="1" applyProtection="1">
      <alignment horizontal="right"/>
      <protection locked="0"/>
    </xf>
    <xf numFmtId="0" fontId="16" fillId="0" borderId="43" xfId="0" applyFont="1" applyBorder="1" applyAlignment="1" applyProtection="1">
      <alignment horizontal="right"/>
      <protection locked="0"/>
    </xf>
    <xf numFmtId="0" fontId="3" fillId="0" borderId="6" xfId="0" applyFont="1" applyBorder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3" fillId="0" borderId="14" xfId="0" applyFont="1" applyBorder="1" applyProtection="1"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65" xfId="0" applyFont="1" applyBorder="1"/>
    <xf numFmtId="3" fontId="3" fillId="0" borderId="2" xfId="0" applyNumberFormat="1" applyFont="1" applyBorder="1" applyProtection="1">
      <protection locked="0"/>
    </xf>
    <xf numFmtId="49" fontId="9" fillId="0" borderId="19" xfId="0" applyNumberFormat="1" applyFont="1" applyBorder="1" applyAlignment="1" applyProtection="1">
      <alignment horizontal="center"/>
      <protection locked="0"/>
    </xf>
    <xf numFmtId="3" fontId="0" fillId="0" borderId="2" xfId="0" applyNumberFormat="1" applyBorder="1"/>
    <xf numFmtId="0" fontId="0" fillId="0" borderId="0" xfId="0" applyBorder="1"/>
    <xf numFmtId="49" fontId="9" fillId="0" borderId="14" xfId="0" applyNumberFormat="1" applyFont="1" applyBorder="1" applyAlignment="1" applyProtection="1">
      <alignment horizontal="center"/>
      <protection locked="0"/>
    </xf>
    <xf numFmtId="3" fontId="0" fillId="0" borderId="0" xfId="0" applyNumberFormat="1" applyBorder="1"/>
    <xf numFmtId="3" fontId="13" fillId="2" borderId="6" xfId="0" applyNumberFormat="1" applyFont="1" applyFill="1" applyBorder="1"/>
    <xf numFmtId="3" fontId="13" fillId="3" borderId="45" xfId="0" applyNumberFormat="1" applyFont="1" applyFill="1" applyBorder="1"/>
    <xf numFmtId="164" fontId="3" fillId="0" borderId="2" xfId="0" applyNumberFormat="1" applyFont="1" applyFill="1" applyBorder="1" applyAlignment="1" applyProtection="1">
      <alignment horizontal="centerContinuous"/>
      <protection locked="0"/>
    </xf>
    <xf numFmtId="0" fontId="3" fillId="0" borderId="0" xfId="0" applyFont="1" applyFill="1" applyBorder="1" applyAlignment="1" applyProtection="1">
      <alignment horizontal="centerContinuous"/>
      <protection locked="0"/>
    </xf>
    <xf numFmtId="0" fontId="3" fillId="0" borderId="19" xfId="0" applyFont="1" applyFill="1" applyBorder="1" applyAlignment="1" applyProtection="1">
      <alignment horizontal="centerContinuous"/>
      <protection locked="0"/>
    </xf>
    <xf numFmtId="164" fontId="3" fillId="0" borderId="7" xfId="0" applyNumberFormat="1" applyFont="1" applyFill="1" applyBorder="1" applyAlignment="1" applyProtection="1">
      <alignment horizontal="centerContinuous"/>
      <protection locked="0"/>
    </xf>
    <xf numFmtId="0" fontId="3" fillId="0" borderId="15" xfId="0" applyFont="1" applyFill="1" applyBorder="1" applyAlignment="1" applyProtection="1">
      <alignment horizontal="centerContinuous"/>
      <protection locked="0"/>
    </xf>
    <xf numFmtId="0" fontId="3" fillId="0" borderId="20" xfId="0" applyFont="1" applyFill="1" applyBorder="1" applyAlignment="1" applyProtection="1">
      <alignment horizontal="centerContinuous"/>
      <protection locked="0"/>
    </xf>
    <xf numFmtId="0" fontId="5" fillId="2" borderId="6" xfId="0" applyFont="1" applyFill="1" applyBorder="1"/>
    <xf numFmtId="0" fontId="5" fillId="2" borderId="22" xfId="0" applyFont="1" applyFill="1" applyBorder="1" applyAlignment="1">
      <alignment horizontal="center"/>
    </xf>
    <xf numFmtId="0" fontId="5" fillId="2" borderId="4" xfId="0" applyFont="1" applyFill="1" applyBorder="1"/>
    <xf numFmtId="0" fontId="3" fillId="2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right"/>
    </xf>
    <xf numFmtId="164" fontId="3" fillId="4" borderId="4" xfId="0" applyNumberFormat="1" applyFont="1" applyFill="1" applyBorder="1"/>
    <xf numFmtId="0" fontId="5" fillId="0" borderId="8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0" fontId="17" fillId="3" borderId="43" xfId="1" applyNumberFormat="1" applyFont="1" applyFill="1" applyBorder="1"/>
    <xf numFmtId="10" fontId="17" fillId="3" borderId="13" xfId="1" applyNumberFormat="1" applyFont="1" applyFill="1" applyBorder="1"/>
    <xf numFmtId="10" fontId="17" fillId="3" borderId="14" xfId="1" applyNumberFormat="1" applyFont="1" applyFill="1" applyBorder="1"/>
    <xf numFmtId="0" fontId="3" fillId="2" borderId="6" xfId="0" applyFont="1" applyFill="1" applyBorder="1" applyAlignment="1">
      <alignment horizontal="center"/>
    </xf>
    <xf numFmtId="9" fontId="9" fillId="0" borderId="2" xfId="1" applyFont="1" applyBorder="1" applyProtection="1">
      <protection locked="0"/>
    </xf>
    <xf numFmtId="9" fontId="9" fillId="0" borderId="2" xfId="1" applyFont="1" applyBorder="1" applyProtection="1"/>
    <xf numFmtId="170" fontId="3" fillId="4" borderId="0" xfId="2" applyNumberFormat="1" applyFont="1" applyFill="1" applyAlignment="1"/>
    <xf numFmtId="170" fontId="3" fillId="4" borderId="0" xfId="2" applyNumberFormat="1" applyFont="1" applyFill="1" applyBorder="1" applyAlignment="1"/>
    <xf numFmtId="0" fontId="9" fillId="0" borderId="0" xfId="0" applyFont="1" applyBorder="1" applyAlignment="1">
      <alignment horizontal="center"/>
    </xf>
    <xf numFmtId="0" fontId="3" fillId="3" borderId="5" xfId="0" applyNumberFormat="1" applyFont="1" applyFill="1" applyBorder="1" applyAlignment="1">
      <alignment horizontal="right"/>
    </xf>
    <xf numFmtId="0" fontId="8" fillId="0" borderId="0" xfId="0" applyFont="1" applyFill="1" applyBorder="1"/>
    <xf numFmtId="170" fontId="3" fillId="0" borderId="0" xfId="0" applyNumberFormat="1" applyFont="1" applyFill="1" applyBorder="1" applyAlignment="1">
      <alignment horizontal="centerContinuous"/>
    </xf>
    <xf numFmtId="170" fontId="3" fillId="3" borderId="57" xfId="0" applyNumberFormat="1" applyFont="1" applyFill="1" applyBorder="1" applyAlignment="1">
      <alignment horizontal="centerContinuous"/>
    </xf>
    <xf numFmtId="170" fontId="3" fillId="3" borderId="58" xfId="0" applyNumberFormat="1" applyFont="1" applyFill="1" applyBorder="1" applyAlignment="1">
      <alignment horizontal="centerContinuous"/>
    </xf>
    <xf numFmtId="170" fontId="3" fillId="3" borderId="66" xfId="0" applyNumberFormat="1" applyFont="1" applyFill="1" applyBorder="1" applyAlignment="1">
      <alignment horizontal="centerContinuous"/>
    </xf>
    <xf numFmtId="170" fontId="3" fillId="0" borderId="67" xfId="0" applyNumberFormat="1" applyFont="1" applyFill="1" applyBorder="1" applyAlignment="1">
      <alignment horizontal="centerContinuous"/>
    </xf>
    <xf numFmtId="1" fontId="3" fillId="0" borderId="0" xfId="0" applyNumberFormat="1" applyFont="1" applyFill="1" applyBorder="1" applyAlignment="1">
      <alignment horizontal="right"/>
    </xf>
    <xf numFmtId="0" fontId="33" fillId="0" borderId="0" xfId="0" applyFont="1" applyAlignment="1">
      <alignment horizontal="right"/>
    </xf>
    <xf numFmtId="0" fontId="5" fillId="0" borderId="2" xfId="0" applyFont="1" applyFill="1" applyBorder="1"/>
    <xf numFmtId="9" fontId="10" fillId="0" borderId="21" xfId="1" applyFont="1" applyBorder="1" applyAlignment="1" applyProtection="1">
      <alignment horizontal="center"/>
      <protection locked="0"/>
    </xf>
    <xf numFmtId="0" fontId="24" fillId="0" borderId="0" xfId="0" applyFont="1"/>
    <xf numFmtId="0" fontId="34" fillId="0" borderId="0" xfId="0" applyFont="1" applyAlignment="1">
      <alignment horizontal="right"/>
    </xf>
    <xf numFmtId="0" fontId="5" fillId="0" borderId="65" xfId="0" applyFont="1" applyBorder="1" applyAlignment="1">
      <alignment horizontal="right"/>
    </xf>
    <xf numFmtId="0" fontId="35" fillId="0" borderId="0" xfId="0" applyFont="1"/>
    <xf numFmtId="0" fontId="36" fillId="0" borderId="0" xfId="0" applyFont="1"/>
    <xf numFmtId="0" fontId="24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5" fillId="0" borderId="5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10" fontId="9" fillId="0" borderId="11" xfId="1" applyNumberFormat="1" applyFont="1" applyFill="1" applyBorder="1" applyAlignment="1" applyProtection="1">
      <alignment horizontal="center"/>
      <protection locked="0"/>
    </xf>
    <xf numFmtId="10" fontId="9" fillId="0" borderId="63" xfId="1" applyNumberFormat="1" applyFont="1" applyFill="1" applyBorder="1" applyAlignment="1" applyProtection="1">
      <alignment horizontal="center"/>
      <protection locked="0"/>
    </xf>
    <xf numFmtId="164" fontId="13" fillId="3" borderId="9" xfId="0" applyNumberFormat="1" applyFont="1" applyFill="1" applyBorder="1" applyAlignment="1">
      <alignment horizontal="right"/>
    </xf>
    <xf numFmtId="164" fontId="13" fillId="3" borderId="68" xfId="0" applyNumberFormat="1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4" fontId="8" fillId="4" borderId="0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3" fillId="3" borderId="19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173" fontId="3" fillId="3" borderId="2" xfId="2" applyNumberFormat="1" applyFont="1" applyFill="1" applyBorder="1" applyAlignment="1">
      <alignment horizontal="center"/>
    </xf>
    <xf numFmtId="173" fontId="3" fillId="3" borderId="19" xfId="2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173" fontId="3" fillId="3" borderId="7" xfId="2" applyNumberFormat="1" applyFont="1" applyFill="1" applyBorder="1" applyAlignment="1">
      <alignment horizontal="center"/>
    </xf>
    <xf numFmtId="173" fontId="3" fillId="3" borderId="20" xfId="2" applyNumberFormat="1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3" borderId="20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6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right"/>
    </xf>
    <xf numFmtId="2" fontId="3" fillId="3" borderId="20" xfId="0" applyNumberFormat="1" applyFont="1" applyFill="1" applyBorder="1" applyAlignment="1">
      <alignment horizontal="right"/>
    </xf>
    <xf numFmtId="2" fontId="3" fillId="3" borderId="2" xfId="0" applyNumberFormat="1" applyFont="1" applyFill="1" applyBorder="1" applyAlignment="1">
      <alignment horizontal="right"/>
    </xf>
    <xf numFmtId="2" fontId="3" fillId="3" borderId="19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right"/>
    </xf>
    <xf numFmtId="2" fontId="3" fillId="3" borderId="15" xfId="0" applyNumberFormat="1" applyFont="1" applyFill="1" applyBorder="1" applyAlignment="1">
      <alignment horizontal="right"/>
    </xf>
    <xf numFmtId="167" fontId="17" fillId="3" borderId="2" xfId="0" applyNumberFormat="1" applyFont="1" applyFill="1" applyBorder="1" applyAlignment="1">
      <alignment horizontal="right"/>
    </xf>
    <xf numFmtId="167" fontId="17" fillId="3" borderId="19" xfId="0" applyNumberFormat="1" applyFont="1" applyFill="1" applyBorder="1" applyAlignment="1">
      <alignment horizontal="right"/>
    </xf>
    <xf numFmtId="2" fontId="3" fillId="3" borderId="47" xfId="0" applyNumberFormat="1" applyFont="1" applyFill="1" applyBorder="1" applyAlignment="1">
      <alignment horizontal="right"/>
    </xf>
    <xf numFmtId="2" fontId="3" fillId="3" borderId="23" xfId="0" applyNumberFormat="1" applyFont="1" applyFill="1" applyBorder="1" applyAlignment="1">
      <alignment horizontal="right"/>
    </xf>
    <xf numFmtId="2" fontId="3" fillId="3" borderId="51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center" textRotation="90" wrapText="1"/>
    </xf>
    <xf numFmtId="0" fontId="5" fillId="2" borderId="44" xfId="0" applyFont="1" applyFill="1" applyBorder="1" applyAlignment="1">
      <alignment horizontal="center" textRotation="90" wrapText="1"/>
    </xf>
    <xf numFmtId="2" fontId="17" fillId="3" borderId="2" xfId="0" applyNumberFormat="1" applyFont="1" applyFill="1" applyBorder="1" applyAlignment="1">
      <alignment horizontal="right"/>
    </xf>
    <xf numFmtId="2" fontId="17" fillId="3" borderId="19" xfId="0" applyNumberFormat="1" applyFont="1" applyFill="1" applyBorder="1" applyAlignment="1">
      <alignment horizontal="right"/>
    </xf>
    <xf numFmtId="167" fontId="17" fillId="3" borderId="7" xfId="0" applyNumberFormat="1" applyFont="1" applyFill="1" applyBorder="1" applyAlignment="1">
      <alignment horizontal="right"/>
    </xf>
    <xf numFmtId="167" fontId="17" fillId="3" borderId="20" xfId="0" applyNumberFormat="1" applyFont="1" applyFill="1" applyBorder="1" applyAlignment="1">
      <alignment horizontal="right"/>
    </xf>
    <xf numFmtId="2" fontId="17" fillId="3" borderId="7" xfId="0" applyNumberFormat="1" applyFont="1" applyFill="1" applyBorder="1" applyAlignment="1">
      <alignment horizontal="right"/>
    </xf>
    <xf numFmtId="2" fontId="17" fillId="3" borderId="20" xfId="0" applyNumberFormat="1" applyFont="1" applyFill="1" applyBorder="1" applyAlignment="1">
      <alignment horizontal="right"/>
    </xf>
    <xf numFmtId="2" fontId="17" fillId="3" borderId="70" xfId="0" applyNumberFormat="1" applyFont="1" applyFill="1" applyBorder="1" applyAlignment="1">
      <alignment horizontal="center"/>
    </xf>
    <xf numFmtId="0" fontId="17" fillId="3" borderId="65" xfId="0" applyFont="1" applyFill="1" applyBorder="1" applyAlignment="1">
      <alignment horizontal="center"/>
    </xf>
    <xf numFmtId="2" fontId="17" fillId="3" borderId="5" xfId="0" applyNumberFormat="1" applyFont="1" applyFill="1" applyBorder="1" applyAlignment="1">
      <alignment horizontal="center"/>
    </xf>
    <xf numFmtId="2" fontId="17" fillId="3" borderId="22" xfId="0" applyNumberFormat="1" applyFont="1" applyFill="1" applyBorder="1" applyAlignment="1">
      <alignment horizontal="center"/>
    </xf>
    <xf numFmtId="2" fontId="9" fillId="3" borderId="5" xfId="0" applyNumberFormat="1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2" fontId="17" fillId="3" borderId="3" xfId="0" applyNumberFormat="1" applyFont="1" applyFill="1" applyBorder="1" applyAlignment="1">
      <alignment horizontal="center"/>
    </xf>
    <xf numFmtId="2" fontId="17" fillId="3" borderId="44" xfId="0" applyNumberFormat="1" applyFont="1" applyFill="1" applyBorder="1" applyAlignment="1">
      <alignment horizontal="center"/>
    </xf>
    <xf numFmtId="2" fontId="17" fillId="3" borderId="1" xfId="0" applyNumberFormat="1" applyFont="1" applyFill="1" applyBorder="1" applyAlignment="1">
      <alignment horizontal="right"/>
    </xf>
    <xf numFmtId="2" fontId="17" fillId="3" borderId="31" xfId="0" applyNumberFormat="1" applyFont="1" applyFill="1" applyBorder="1" applyAlignment="1">
      <alignment horizontal="right"/>
    </xf>
    <xf numFmtId="10" fontId="9" fillId="3" borderId="5" xfId="1" applyNumberFormat="1" applyFont="1" applyFill="1" applyBorder="1" applyAlignment="1">
      <alignment horizontal="right"/>
    </xf>
    <xf numFmtId="10" fontId="9" fillId="3" borderId="22" xfId="1" applyNumberFormat="1" applyFont="1" applyFill="1" applyBorder="1" applyAlignment="1">
      <alignment horizontal="right"/>
    </xf>
    <xf numFmtId="164" fontId="3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/>
      <protection locked="0"/>
    </xf>
    <xf numFmtId="164" fontId="3" fillId="0" borderId="19" xfId="0" applyNumberFormat="1" applyFont="1" applyBorder="1" applyAlignment="1" applyProtection="1">
      <alignment horizontal="center"/>
      <protection locked="0"/>
    </xf>
    <xf numFmtId="0" fontId="13" fillId="2" borderId="43" xfId="0" applyFont="1" applyFill="1" applyBorder="1" applyAlignment="1">
      <alignment horizontal="center" textRotation="90"/>
    </xf>
    <xf numFmtId="0" fontId="13" fillId="2" borderId="12" xfId="0" applyFont="1" applyFill="1" applyBorder="1" applyAlignment="1">
      <alignment horizontal="center" textRotation="90"/>
    </xf>
    <xf numFmtId="172" fontId="3" fillId="0" borderId="0" xfId="0" applyNumberFormat="1" applyFont="1" applyAlignment="1">
      <alignment horizontal="center"/>
    </xf>
    <xf numFmtId="0" fontId="24" fillId="0" borderId="19" xfId="0" applyFont="1" applyBorder="1" applyAlignment="1">
      <alignment horizontal="center" textRotation="90"/>
    </xf>
    <xf numFmtId="0" fontId="24" fillId="0" borderId="20" xfId="0" applyFont="1" applyBorder="1" applyAlignment="1">
      <alignment horizontal="center" textRotation="90"/>
    </xf>
    <xf numFmtId="164" fontId="3" fillId="0" borderId="47" xfId="0" applyNumberFormat="1" applyFont="1" applyBorder="1" applyAlignment="1" applyProtection="1">
      <alignment horizontal="center"/>
      <protection locked="0"/>
    </xf>
    <xf numFmtId="164" fontId="3" fillId="0" borderId="23" xfId="0" applyNumberFormat="1" applyFont="1" applyBorder="1" applyAlignment="1" applyProtection="1">
      <alignment horizontal="center"/>
      <protection locked="0"/>
    </xf>
    <xf numFmtId="164" fontId="3" fillId="0" borderId="51" xfId="0" applyNumberFormat="1" applyFont="1" applyBorder="1" applyAlignment="1" applyProtection="1">
      <alignment horizontal="center"/>
      <protection locked="0"/>
    </xf>
    <xf numFmtId="2" fontId="3" fillId="0" borderId="2" xfId="0" applyNumberFormat="1" applyFont="1" applyBorder="1" applyAlignment="1" applyProtection="1">
      <alignment horizontal="center"/>
      <protection locked="0"/>
    </xf>
    <xf numFmtId="2" fontId="3" fillId="0" borderId="19" xfId="0" applyNumberFormat="1" applyFont="1" applyBorder="1" applyAlignment="1" applyProtection="1">
      <alignment horizontal="center"/>
      <protection locked="0"/>
    </xf>
    <xf numFmtId="2" fontId="3" fillId="0" borderId="7" xfId="0" applyNumberFormat="1" applyFont="1" applyBorder="1" applyAlignment="1" applyProtection="1">
      <alignment horizontal="center"/>
      <protection locked="0"/>
    </xf>
    <xf numFmtId="2" fontId="3" fillId="0" borderId="20" xfId="0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2" fontId="3" fillId="0" borderId="47" xfId="0" applyNumberFormat="1" applyFont="1" applyBorder="1" applyAlignment="1" applyProtection="1">
      <alignment horizontal="center"/>
      <protection locked="0"/>
    </xf>
    <xf numFmtId="2" fontId="3" fillId="0" borderId="51" xfId="0" applyNumberFormat="1" applyFont="1" applyBorder="1" applyAlignment="1" applyProtection="1">
      <alignment horizontal="center"/>
      <protection locked="0"/>
    </xf>
    <xf numFmtId="2" fontId="3" fillId="0" borderId="7" xfId="0" applyNumberFormat="1" applyFont="1" applyBorder="1" applyAlignment="1" applyProtection="1">
      <alignment horizontal="right"/>
      <protection locked="0"/>
    </xf>
    <xf numFmtId="2" fontId="3" fillId="0" borderId="20" xfId="0" applyNumberFormat="1" applyFont="1" applyBorder="1" applyAlignment="1" applyProtection="1">
      <alignment horizontal="right"/>
      <protection locked="0"/>
    </xf>
    <xf numFmtId="2" fontId="3" fillId="0" borderId="2" xfId="0" applyNumberFormat="1" applyFont="1" applyBorder="1" applyAlignment="1" applyProtection="1">
      <alignment horizontal="right"/>
      <protection locked="0"/>
    </xf>
    <xf numFmtId="2" fontId="3" fillId="0" borderId="19" xfId="0" applyNumberFormat="1" applyFont="1" applyBorder="1" applyAlignment="1" applyProtection="1">
      <alignment horizontal="right"/>
      <protection locked="0"/>
    </xf>
    <xf numFmtId="2" fontId="3" fillId="0" borderId="47" xfId="0" applyNumberFormat="1" applyFont="1" applyBorder="1" applyAlignment="1" applyProtection="1">
      <alignment horizontal="right"/>
      <protection locked="0"/>
    </xf>
    <xf numFmtId="2" fontId="3" fillId="0" borderId="51" xfId="0" applyNumberFormat="1" applyFont="1" applyBorder="1" applyAlignment="1" applyProtection="1">
      <alignment horizontal="right"/>
      <protection locked="0"/>
    </xf>
    <xf numFmtId="166" fontId="5" fillId="3" borderId="6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164" fontId="3" fillId="0" borderId="7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64" fontId="3" fillId="0" borderId="20" xfId="0" applyNumberFormat="1" applyFont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Liquidità in 3 anni</a:t>
            </a:r>
          </a:p>
        </c:rich>
      </c:tx>
      <c:layout>
        <c:manualLayout>
          <c:xMode val="edge"/>
          <c:yMode val="edge"/>
          <c:x val="0.43950387068042485"/>
          <c:y val="2.74193600543258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136269359798485E-2"/>
          <c:y val="0.10061924471396028"/>
          <c:w val="0.83396086665850877"/>
          <c:h val="0.83780922129175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Tes.1°!$A$47</c:f>
              <c:strCache>
                <c:ptCount val="1"/>
                <c:pt idx="0">
                  <c:v>Liquidità 1° anno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Tes.1°!$B$46:$M$46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Tes.1°!$B$47:$M$47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2-1441-85DE-C7E8F87FB748}"/>
            </c:ext>
          </c:extLst>
        </c:ser>
        <c:ser>
          <c:idx val="1"/>
          <c:order val="1"/>
          <c:tx>
            <c:strRef>
              <c:f>Tes.1°!$A$48</c:f>
              <c:strCache>
                <c:ptCount val="1"/>
                <c:pt idx="0">
                  <c:v>Liquidità 2° anno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Tes.1°!$B$46:$M$46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Tes.1°!$B$48:$M$48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2-1441-85DE-C7E8F87FB748}"/>
            </c:ext>
          </c:extLst>
        </c:ser>
        <c:ser>
          <c:idx val="2"/>
          <c:order val="2"/>
          <c:tx>
            <c:strRef>
              <c:f>Tes.1°!$A$49</c:f>
              <c:strCache>
                <c:ptCount val="1"/>
                <c:pt idx="0">
                  <c:v>Liquidità 3° anno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Tes.1°!$B$46:$M$46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Tes.1°!$B$49:$M$49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2-1441-85DE-C7E8F87FB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2480431"/>
        <c:axId val="1"/>
      </c:barChart>
      <c:catAx>
        <c:axId val="161248043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CH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liquidità</a:t>
                </a:r>
              </a:p>
            </c:rich>
          </c:tx>
          <c:layout>
            <c:manualLayout>
              <c:xMode val="edge"/>
              <c:yMode val="edge"/>
              <c:x val="1.4477766091512929E-2"/>
              <c:y val="0.517741919837022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CH"/>
          </a:p>
        </c:txPr>
        <c:crossAx val="16124804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9894482503766449"/>
          <c:y val="0.46818752122103835"/>
          <c:w val="0.98679354160152366"/>
          <c:h val="0.558539507510226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C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CH"/>
    </a:p>
  </c:txPr>
  <c:printSettings>
    <c:headerFooter alignWithMargins="0">
      <c:oddHeader>&amp;A</c:oddHeader>
      <c:oddFooter>Pagina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Incasso, Costo, Liquidità 1° anno</a:t>
            </a:r>
          </a:p>
        </c:rich>
      </c:tx>
      <c:layout>
        <c:manualLayout>
          <c:xMode val="edge"/>
          <c:yMode val="edge"/>
          <c:x val="0.32307763948861234"/>
          <c:y val="2.6685400563461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78941104662229"/>
          <c:y val="9.5415905499315237E-2"/>
          <c:w val="0.83873646627973375"/>
          <c:h val="0.809200275484577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Tes.2°!$A$58</c:f>
              <c:strCache>
                <c:ptCount val="1"/>
                <c:pt idx="0">
                  <c:v>Incasso 1° anno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Tes.2°!$B$57:$M$57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Tes.2°!$B$58:$M$58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7-8147-B83A-BCB611E45D14}"/>
            </c:ext>
          </c:extLst>
        </c:ser>
        <c:ser>
          <c:idx val="1"/>
          <c:order val="1"/>
          <c:tx>
            <c:strRef>
              <c:f>Tes.2°!$A$59</c:f>
              <c:strCache>
                <c:ptCount val="1"/>
                <c:pt idx="0">
                  <c:v>Costo 1° anno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Tes.2°!$B$57:$M$57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Tes.2°!$B$59:$M$59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7-8147-B83A-BCB611E45D14}"/>
            </c:ext>
          </c:extLst>
        </c:ser>
        <c:ser>
          <c:idx val="2"/>
          <c:order val="2"/>
          <c:tx>
            <c:strRef>
              <c:f>Tes.2°!$A$60</c:f>
              <c:strCache>
                <c:ptCount val="1"/>
                <c:pt idx="0">
                  <c:v>Liquidità 1° anno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Tes.2°!$B$57:$M$57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Tes.2°!$B$60:$M$60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C7-8147-B83A-BCB611E45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7413935"/>
        <c:axId val="1"/>
      </c:barChart>
      <c:catAx>
        <c:axId val="16074139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CH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CH"/>
          </a:p>
        </c:txPr>
        <c:crossAx val="160741393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4337482008297351E-2"/>
          <c:y val="7.3397384959907538E-3"/>
          <c:w val="0.27599469421161066"/>
          <c:h val="8.80762840424763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C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CH"/>
    </a:p>
  </c:txPr>
  <c:printSettings>
    <c:headerFooter alignWithMargins="0">
      <c:oddHeader>&amp;A</c:oddHeader>
      <c:oddFooter>Pagina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Incasso, Costo, Liquidità 2° anno: </a:t>
            </a:r>
          </a:p>
        </c:rich>
      </c:tx>
      <c:layout>
        <c:manualLayout>
          <c:xMode val="edge"/>
          <c:yMode val="edge"/>
          <c:x val="0.31610264341957256"/>
          <c:y val="2.6685400563461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9027630702756"/>
          <c:y val="9.5415905499315237E-2"/>
          <c:w val="0.84288474893483356"/>
          <c:h val="0.809200275484577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Tes.2°!$A$61</c:f>
              <c:strCache>
                <c:ptCount val="1"/>
                <c:pt idx="0">
                  <c:v>Incasso 2° anno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Tes.2°!$B$57:$M$57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Tes.2°!$B$61:$M$61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A-3440-983E-50ED9DEBAA24}"/>
            </c:ext>
          </c:extLst>
        </c:ser>
        <c:ser>
          <c:idx val="1"/>
          <c:order val="1"/>
          <c:tx>
            <c:strRef>
              <c:f>Tes.2°!$A$62</c:f>
              <c:strCache>
                <c:ptCount val="1"/>
                <c:pt idx="0">
                  <c:v>Costo 2° anno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Tes.2°!$B$57:$M$57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Tes.2°!$B$62:$M$62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A-3440-983E-50ED9DEBAA24}"/>
            </c:ext>
          </c:extLst>
        </c:ser>
        <c:ser>
          <c:idx val="2"/>
          <c:order val="2"/>
          <c:tx>
            <c:strRef>
              <c:f>Tes.2°!$A$63</c:f>
              <c:strCache>
                <c:ptCount val="1"/>
                <c:pt idx="0">
                  <c:v>Liquidità 2° anno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Tes.2°!$B$57:$M$57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Tes.2°!$B$63:$M$63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A-3440-983E-50ED9DEBA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7193887"/>
        <c:axId val="1"/>
      </c:barChart>
      <c:catAx>
        <c:axId val="16071938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CH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CH"/>
          </a:p>
        </c:txPr>
        <c:crossAx val="1607193887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4286276715410575E-2"/>
          <c:y val="7.3397384959907538E-3"/>
          <c:w val="0.27500899887514058"/>
          <c:h val="8.80762840424763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C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CH"/>
    </a:p>
  </c:txPr>
  <c:printSettings>
    <c:headerFooter alignWithMargins="0">
      <c:oddHeader>&amp;A</c:oddHeader>
      <c:oddFooter>Pagina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Incasso, Costo, Liquidità 3° anno</a:t>
            </a:r>
          </a:p>
        </c:rich>
      </c:tx>
      <c:layout>
        <c:manualLayout>
          <c:xMode val="edge"/>
          <c:yMode val="edge"/>
          <c:x val="0.33333426738027849"/>
          <c:y val="2.6685400563461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79469332551653"/>
          <c:y val="9.7250826758917455E-2"/>
          <c:w val="0.8505623514050884"/>
          <c:h val="0.809200275484577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Tes.2°!$A$64</c:f>
              <c:strCache>
                <c:ptCount val="1"/>
                <c:pt idx="0">
                  <c:v>Incasso 3° anno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Tes.2°!$B$57:$M$57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Tes.2°!$B$64:$M$64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B-6041-844C-A1D786D74E94}"/>
            </c:ext>
          </c:extLst>
        </c:ser>
        <c:ser>
          <c:idx val="1"/>
          <c:order val="1"/>
          <c:tx>
            <c:strRef>
              <c:f>Tes.2°!$A$65</c:f>
              <c:strCache>
                <c:ptCount val="1"/>
                <c:pt idx="0">
                  <c:v>Costo 3° anno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Tes.2°!$B$57:$M$57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Tes.2°!$B$65:$M$65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B-6041-844C-A1D786D74E94}"/>
            </c:ext>
          </c:extLst>
        </c:ser>
        <c:ser>
          <c:idx val="2"/>
          <c:order val="2"/>
          <c:tx>
            <c:strRef>
              <c:f>Tes.2°!$A$66</c:f>
              <c:strCache>
                <c:ptCount val="1"/>
                <c:pt idx="0">
                  <c:v>Liquidità 3° anno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it-C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Tes.2°!$B$57:$M$57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Tes.2°!$B$66:$M$66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6B-6041-844C-A1D786D74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7165631"/>
        <c:axId val="1"/>
      </c:barChart>
      <c:catAx>
        <c:axId val="160716563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CH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CH"/>
          </a:p>
        </c:txPr>
        <c:crossAx val="16071656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4235435873006979E-2"/>
          <c:y val="7.3397384959907538E-3"/>
          <c:w val="0.27403059937792468"/>
          <c:h val="8.80762840424763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C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CH"/>
    </a:p>
  </c:txPr>
  <c:printSettings>
    <c:headerFooter alignWithMargins="0">
      <c:oddHeader>&amp;A</c:oddHeader>
      <c:oddFooter>Pagina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49</xdr:row>
      <xdr:rowOff>101600</xdr:rowOff>
    </xdr:from>
    <xdr:to>
      <xdr:col>14</xdr:col>
      <xdr:colOff>381000</xdr:colOff>
      <xdr:row>87</xdr:row>
      <xdr:rowOff>12700</xdr:rowOff>
    </xdr:to>
    <xdr:graphicFrame macro="">
      <xdr:nvGraphicFramePr>
        <xdr:cNvPr id="2068" name="Chart 1">
          <a:extLst>
            <a:ext uri="{FF2B5EF4-FFF2-40B4-BE49-F238E27FC236}">
              <a16:creationId xmlns:a16="http://schemas.microsoft.com/office/drawing/2014/main" id="{60818A22-DE05-6B4C-A111-B41BFB7CF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25400</xdr:rowOff>
    </xdr:from>
    <xdr:to>
      <xdr:col>3</xdr:col>
      <xdr:colOff>38100</xdr:colOff>
      <xdr:row>84</xdr:row>
      <xdr:rowOff>0</xdr:rowOff>
    </xdr:to>
    <xdr:graphicFrame macro="">
      <xdr:nvGraphicFramePr>
        <xdr:cNvPr id="3135" name="Chart 6">
          <a:extLst>
            <a:ext uri="{FF2B5EF4-FFF2-40B4-BE49-F238E27FC236}">
              <a16:creationId xmlns:a16="http://schemas.microsoft.com/office/drawing/2014/main" id="{195C4E54-4D4F-9F4F-8FBB-6B178F88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</xdr:colOff>
      <xdr:row>42</xdr:row>
      <xdr:rowOff>25400</xdr:rowOff>
    </xdr:from>
    <xdr:to>
      <xdr:col>8</xdr:col>
      <xdr:colOff>482600</xdr:colOff>
      <xdr:row>84</xdr:row>
      <xdr:rowOff>0</xdr:rowOff>
    </xdr:to>
    <xdr:graphicFrame macro="">
      <xdr:nvGraphicFramePr>
        <xdr:cNvPr id="3136" name="Chart 7">
          <a:extLst>
            <a:ext uri="{FF2B5EF4-FFF2-40B4-BE49-F238E27FC236}">
              <a16:creationId xmlns:a16="http://schemas.microsoft.com/office/drawing/2014/main" id="{6294AB64-C702-814E-B6DF-F67FF4B29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508000</xdr:colOff>
      <xdr:row>42</xdr:row>
      <xdr:rowOff>25400</xdr:rowOff>
    </xdr:from>
    <xdr:to>
      <xdr:col>14</xdr:col>
      <xdr:colOff>342900</xdr:colOff>
      <xdr:row>84</xdr:row>
      <xdr:rowOff>0</xdr:rowOff>
    </xdr:to>
    <xdr:graphicFrame macro="">
      <xdr:nvGraphicFramePr>
        <xdr:cNvPr id="3137" name="Chart 8">
          <a:extLst>
            <a:ext uri="{FF2B5EF4-FFF2-40B4-BE49-F238E27FC236}">
              <a16:creationId xmlns:a16="http://schemas.microsoft.com/office/drawing/2014/main" id="{968F9820-E463-914E-A88D-CF094BFB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IMPOST~1/Temp/DMAM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"/>
      <sheetName val="Progetto"/>
      <sheetName val="Mercat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workbookViewId="0">
      <selection activeCell="B6" sqref="B6"/>
    </sheetView>
  </sheetViews>
  <sheetFormatPr baseColWidth="10" defaultColWidth="9.1640625" defaultRowHeight="13" x14ac:dyDescent="0.15"/>
  <cols>
    <col min="1" max="1" width="4" style="1" customWidth="1"/>
    <col min="2" max="2" width="64.5" style="1" customWidth="1"/>
    <col min="3" max="3" width="18.5" style="1" customWidth="1"/>
    <col min="4" max="4" width="13.6640625" style="1" customWidth="1"/>
    <col min="5" max="16384" width="9.1640625" style="1"/>
  </cols>
  <sheetData>
    <row r="1" spans="1:7" ht="16" x14ac:dyDescent="0.2">
      <c r="A1" s="3" t="s">
        <v>516</v>
      </c>
      <c r="C1" s="714" t="str">
        <f>MID([1]Persona!$D$12,1,35)</f>
        <v/>
      </c>
    </row>
    <row r="2" spans="1:7" ht="7.5" customHeight="1" x14ac:dyDescent="0.15"/>
    <row r="3" spans="1:7" x14ac:dyDescent="0.15">
      <c r="A3" s="4">
        <v>1</v>
      </c>
      <c r="B3" s="10" t="s">
        <v>0</v>
      </c>
      <c r="C3" s="11" t="s">
        <v>1</v>
      </c>
    </row>
    <row r="4" spans="1:7" x14ac:dyDescent="0.15">
      <c r="A4" s="5"/>
      <c r="B4" s="282"/>
      <c r="C4" s="283"/>
    </row>
    <row r="5" spans="1:7" x14ac:dyDescent="0.15">
      <c r="A5" s="5"/>
      <c r="B5" s="282"/>
      <c r="C5" s="283"/>
    </row>
    <row r="6" spans="1:7" x14ac:dyDescent="0.15">
      <c r="A6" s="5"/>
      <c r="B6" s="282"/>
      <c r="C6" s="283"/>
    </row>
    <row r="7" spans="1:7" ht="14" thickBot="1" x14ac:dyDescent="0.2">
      <c r="A7" s="5"/>
      <c r="B7" s="284"/>
      <c r="C7" s="285"/>
    </row>
    <row r="8" spans="1:7" x14ac:dyDescent="0.15">
      <c r="A8" s="7">
        <v>10</v>
      </c>
      <c r="B8" s="9" t="s">
        <v>2</v>
      </c>
      <c r="C8" s="54">
        <f>SUM(C4:C7)</f>
        <v>0</v>
      </c>
    </row>
    <row r="9" spans="1:7" ht="7.5" customHeight="1" x14ac:dyDescent="0.15">
      <c r="C9" s="2"/>
    </row>
    <row r="10" spans="1:7" x14ac:dyDescent="0.15">
      <c r="A10" s="4">
        <v>2</v>
      </c>
      <c r="B10" s="10" t="s">
        <v>3</v>
      </c>
      <c r="C10" s="11" t="s">
        <v>1</v>
      </c>
    </row>
    <row r="11" spans="1:7" x14ac:dyDescent="0.15">
      <c r="A11" s="5"/>
      <c r="B11" s="282"/>
      <c r="C11" s="283"/>
    </row>
    <row r="12" spans="1:7" x14ac:dyDescent="0.15">
      <c r="A12" s="5"/>
      <c r="B12" s="282"/>
      <c r="C12" s="283"/>
    </row>
    <row r="13" spans="1:7" x14ac:dyDescent="0.15">
      <c r="A13" s="5"/>
      <c r="B13" s="282"/>
      <c r="C13" s="283"/>
    </row>
    <row r="14" spans="1:7" ht="14" thickBot="1" x14ac:dyDescent="0.2">
      <c r="A14" s="5"/>
      <c r="B14" s="284"/>
      <c r="C14" s="285"/>
    </row>
    <row r="15" spans="1:7" x14ac:dyDescent="0.15">
      <c r="A15" s="7">
        <v>20</v>
      </c>
      <c r="B15" s="9" t="s">
        <v>2</v>
      </c>
      <c r="C15" s="54">
        <f>SUM(C10:C14)</f>
        <v>0</v>
      </c>
      <c r="G15" s="36"/>
    </row>
    <row r="16" spans="1:7" ht="7.5" customHeight="1" x14ac:dyDescent="0.15">
      <c r="C16" s="2"/>
    </row>
    <row r="17" spans="1:3" x14ac:dyDescent="0.15">
      <c r="A17" s="4">
        <v>3</v>
      </c>
      <c r="B17" s="10" t="s">
        <v>4</v>
      </c>
      <c r="C17" s="11" t="s">
        <v>1</v>
      </c>
    </row>
    <row r="18" spans="1:3" x14ac:dyDescent="0.15">
      <c r="A18" s="5"/>
      <c r="B18" s="282"/>
      <c r="C18" s="283"/>
    </row>
    <row r="19" spans="1:3" x14ac:dyDescent="0.15">
      <c r="A19" s="5"/>
      <c r="B19" s="282"/>
      <c r="C19" s="283"/>
    </row>
    <row r="20" spans="1:3" x14ac:dyDescent="0.15">
      <c r="A20" s="5"/>
      <c r="B20" s="282"/>
      <c r="C20" s="283"/>
    </row>
    <row r="21" spans="1:3" ht="14" thickBot="1" x14ac:dyDescent="0.2">
      <c r="A21" s="5"/>
      <c r="B21" s="284"/>
      <c r="C21" s="285"/>
    </row>
    <row r="22" spans="1:3" x14ac:dyDescent="0.15">
      <c r="A22" s="7">
        <v>30</v>
      </c>
      <c r="B22" s="9" t="s">
        <v>2</v>
      </c>
      <c r="C22" s="54">
        <f>SUM(C17:C21)</f>
        <v>0</v>
      </c>
    </row>
    <row r="23" spans="1:3" ht="7.5" customHeight="1" x14ac:dyDescent="0.15">
      <c r="C23" s="2"/>
    </row>
    <row r="24" spans="1:3" x14ac:dyDescent="0.15">
      <c r="A24" s="4">
        <v>4</v>
      </c>
      <c r="B24" s="10" t="s">
        <v>5</v>
      </c>
      <c r="C24" s="11" t="s">
        <v>1</v>
      </c>
    </row>
    <row r="25" spans="1:3" x14ac:dyDescent="0.15">
      <c r="A25" s="5"/>
      <c r="B25" s="282"/>
      <c r="C25" s="283"/>
    </row>
    <row r="26" spans="1:3" x14ac:dyDescent="0.15">
      <c r="A26" s="5"/>
      <c r="B26" s="282"/>
      <c r="C26" s="283"/>
    </row>
    <row r="27" spans="1:3" x14ac:dyDescent="0.15">
      <c r="A27" s="5"/>
      <c r="B27" s="282"/>
      <c r="C27" s="283"/>
    </row>
    <row r="28" spans="1:3" ht="14" thickBot="1" x14ac:dyDescent="0.2">
      <c r="A28" s="5"/>
      <c r="B28" s="284"/>
      <c r="C28" s="285"/>
    </row>
    <row r="29" spans="1:3" x14ac:dyDescent="0.15">
      <c r="A29" s="7">
        <v>40</v>
      </c>
      <c r="B29" s="9" t="s">
        <v>2</v>
      </c>
      <c r="C29" s="54">
        <f>SUM(C24:C28)</f>
        <v>0</v>
      </c>
    </row>
    <row r="30" spans="1:3" ht="7.5" customHeight="1" x14ac:dyDescent="0.15">
      <c r="C30" s="2"/>
    </row>
    <row r="31" spans="1:3" x14ac:dyDescent="0.15">
      <c r="A31" s="4">
        <v>5</v>
      </c>
      <c r="B31" s="10" t="s">
        <v>6</v>
      </c>
      <c r="C31" s="11" t="s">
        <v>1</v>
      </c>
    </row>
    <row r="32" spans="1:3" x14ac:dyDescent="0.15">
      <c r="A32" s="5"/>
      <c r="B32" s="282"/>
      <c r="C32" s="283"/>
    </row>
    <row r="33" spans="1:3" x14ac:dyDescent="0.15">
      <c r="A33" s="5"/>
      <c r="B33" s="282"/>
      <c r="C33" s="283"/>
    </row>
    <row r="34" spans="1:3" x14ac:dyDescent="0.15">
      <c r="A34" s="5"/>
      <c r="B34" s="282"/>
      <c r="C34" s="283"/>
    </row>
    <row r="35" spans="1:3" ht="14" thickBot="1" x14ac:dyDescent="0.2">
      <c r="A35" s="5"/>
      <c r="B35" s="284"/>
      <c r="C35" s="285"/>
    </row>
    <row r="36" spans="1:3" x14ac:dyDescent="0.15">
      <c r="A36" s="7">
        <v>50</v>
      </c>
      <c r="B36" s="9" t="s">
        <v>2</v>
      </c>
      <c r="C36" s="54">
        <f>SUM(C31:C35)</f>
        <v>0</v>
      </c>
    </row>
    <row r="37" spans="1:3" ht="7.5" customHeight="1" x14ac:dyDescent="0.15">
      <c r="C37" s="2"/>
    </row>
    <row r="38" spans="1:3" x14ac:dyDescent="0.15">
      <c r="A38" s="4">
        <v>6</v>
      </c>
      <c r="B38" s="10" t="s">
        <v>7</v>
      </c>
      <c r="C38" s="11" t="s">
        <v>1</v>
      </c>
    </row>
    <row r="39" spans="1:3" x14ac:dyDescent="0.15">
      <c r="A39" s="5"/>
      <c r="B39" s="282"/>
      <c r="C39" s="283"/>
    </row>
    <row r="40" spans="1:3" x14ac:dyDescent="0.15">
      <c r="A40" s="5"/>
      <c r="B40" s="282"/>
      <c r="C40" s="283"/>
    </row>
    <row r="41" spans="1:3" x14ac:dyDescent="0.15">
      <c r="A41" s="5"/>
      <c r="B41" s="282"/>
      <c r="C41" s="283"/>
    </row>
    <row r="42" spans="1:3" ht="14" thickBot="1" x14ac:dyDescent="0.2">
      <c r="A42" s="5"/>
      <c r="B42" s="284"/>
      <c r="C42" s="285"/>
    </row>
    <row r="43" spans="1:3" x14ac:dyDescent="0.15">
      <c r="A43" s="7">
        <v>60</v>
      </c>
      <c r="B43" s="9" t="s">
        <v>2</v>
      </c>
      <c r="C43" s="54">
        <f>SUM(C38:C42)</f>
        <v>0</v>
      </c>
    </row>
    <row r="44" spans="1:3" ht="7.5" customHeight="1" x14ac:dyDescent="0.15">
      <c r="C44" s="2"/>
    </row>
    <row r="45" spans="1:3" x14ac:dyDescent="0.15">
      <c r="A45" s="4">
        <v>7</v>
      </c>
      <c r="B45" s="10" t="s">
        <v>8</v>
      </c>
      <c r="C45" s="11" t="s">
        <v>1</v>
      </c>
    </row>
    <row r="46" spans="1:3" x14ac:dyDescent="0.15">
      <c r="A46" s="5"/>
      <c r="B46" s="282"/>
      <c r="C46" s="283"/>
    </row>
    <row r="47" spans="1:3" x14ac:dyDescent="0.15">
      <c r="A47" s="5"/>
      <c r="B47" s="282"/>
      <c r="C47" s="283"/>
    </row>
    <row r="48" spans="1:3" x14ac:dyDescent="0.15">
      <c r="A48" s="5"/>
      <c r="B48" s="282"/>
      <c r="C48" s="283"/>
    </row>
    <row r="49" spans="1:3" ht="14" thickBot="1" x14ac:dyDescent="0.2">
      <c r="A49" s="5"/>
      <c r="B49" s="284"/>
      <c r="C49" s="285"/>
    </row>
    <row r="50" spans="1:3" x14ac:dyDescent="0.15">
      <c r="A50" s="7">
        <v>70</v>
      </c>
      <c r="B50" s="9" t="s">
        <v>2</v>
      </c>
      <c r="C50" s="54">
        <f>SUM(C45:C49)</f>
        <v>0</v>
      </c>
    </row>
    <row r="51" spans="1:3" ht="7.5" customHeight="1" x14ac:dyDescent="0.15"/>
    <row r="52" spans="1:3" x14ac:dyDescent="0.15">
      <c r="A52" s="4">
        <v>8</v>
      </c>
      <c r="B52" s="10" t="s">
        <v>9</v>
      </c>
      <c r="C52" s="11" t="s">
        <v>1</v>
      </c>
    </row>
    <row r="53" spans="1:3" x14ac:dyDescent="0.15">
      <c r="A53" s="5"/>
      <c r="B53" s="282"/>
      <c r="C53" s="283"/>
    </row>
    <row r="54" spans="1:3" x14ac:dyDescent="0.15">
      <c r="A54" s="5"/>
      <c r="B54" s="282"/>
      <c r="C54" s="283"/>
    </row>
    <row r="55" spans="1:3" x14ac:dyDescent="0.15">
      <c r="A55" s="5"/>
      <c r="B55" s="282"/>
      <c r="C55" s="283"/>
    </row>
    <row r="56" spans="1:3" ht="14" thickBot="1" x14ac:dyDescent="0.2">
      <c r="A56" s="5"/>
      <c r="B56" s="284"/>
      <c r="C56" s="285"/>
    </row>
    <row r="57" spans="1:3" x14ac:dyDescent="0.15">
      <c r="A57" s="7">
        <v>80</v>
      </c>
      <c r="B57" s="9" t="s">
        <v>2</v>
      </c>
      <c r="C57" s="54">
        <f>SUM(C52:C56)</f>
        <v>0</v>
      </c>
    </row>
    <row r="58" spans="1:3" ht="7.5" customHeight="1" x14ac:dyDescent="0.15"/>
    <row r="59" spans="1:3" x14ac:dyDescent="0.15">
      <c r="A59" s="4">
        <v>9</v>
      </c>
      <c r="B59" s="10" t="s">
        <v>506</v>
      </c>
      <c r="C59" s="11" t="s">
        <v>1</v>
      </c>
    </row>
    <row r="60" spans="1:3" x14ac:dyDescent="0.15">
      <c r="A60" s="5"/>
      <c r="B60" s="282"/>
      <c r="C60" s="283"/>
    </row>
    <row r="61" spans="1:3" x14ac:dyDescent="0.15">
      <c r="A61" s="5"/>
      <c r="B61" s="282"/>
      <c r="C61" s="283"/>
    </row>
    <row r="62" spans="1:3" x14ac:dyDescent="0.15">
      <c r="A62" s="5"/>
      <c r="B62" s="282"/>
      <c r="C62" s="283"/>
    </row>
    <row r="63" spans="1:3" ht="14" thickBot="1" x14ac:dyDescent="0.2">
      <c r="A63" s="5"/>
      <c r="B63" s="284"/>
      <c r="C63" s="285"/>
    </row>
    <row r="64" spans="1:3" x14ac:dyDescent="0.15">
      <c r="A64" s="7">
        <v>90</v>
      </c>
      <c r="B64" s="9" t="s">
        <v>2</v>
      </c>
      <c r="C64" s="54">
        <f>SUM(C59:C63)</f>
        <v>0</v>
      </c>
    </row>
    <row r="65" spans="1:1" x14ac:dyDescent="0.15">
      <c r="A65" s="713" t="s">
        <v>504</v>
      </c>
    </row>
  </sheetData>
  <sheetProtection password="DB4F" sheet="1" objects="1" scenarios="1" selectLockedCells="1"/>
  <phoneticPr fontId="15" type="noConversion"/>
  <pageMargins left="0.75" right="0.75" top="0.44" bottom="0.53" header="0.19" footer="0.23"/>
  <pageSetup paperSize="9" orientation="portrait" horizontalDpi="4294967293"/>
  <headerFooter alignWithMargins="0">
    <oddHeader>&amp;L&amp;A&amp;R&amp;F</oddHeader>
    <oddFooter>&amp;CPagina &amp;P+1&amp;R&amp;D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93"/>
  <sheetViews>
    <sheetView workbookViewId="0">
      <selection activeCell="O9" sqref="O9"/>
    </sheetView>
  </sheetViews>
  <sheetFormatPr baseColWidth="10" defaultColWidth="8.83203125" defaultRowHeight="13" x14ac:dyDescent="0.15"/>
  <cols>
    <col min="1" max="1" width="29.6640625" customWidth="1"/>
    <col min="2" max="14" width="8.1640625" customWidth="1"/>
    <col min="15" max="15" width="5.1640625" customWidth="1"/>
  </cols>
  <sheetData>
    <row r="1" spans="1:16" ht="20" x14ac:dyDescent="0.2">
      <c r="A1" s="76" t="s">
        <v>273</v>
      </c>
      <c r="B1" s="76" t="s">
        <v>66</v>
      </c>
      <c r="N1" s="714" t="str">
        <f>MID([1]Persona!$D$12,1,60)</f>
        <v/>
      </c>
    </row>
    <row r="2" spans="1:16" ht="14" thickBot="1" x14ac:dyDescent="0.2">
      <c r="A2" s="51"/>
      <c r="B2" s="43" t="s">
        <v>274</v>
      </c>
      <c r="C2" s="43" t="s">
        <v>275</v>
      </c>
      <c r="D2" s="43" t="s">
        <v>276</v>
      </c>
      <c r="E2" s="43" t="s">
        <v>277</v>
      </c>
      <c r="F2" s="43" t="s">
        <v>278</v>
      </c>
      <c r="G2" s="43" t="s">
        <v>279</v>
      </c>
      <c r="H2" s="43" t="s">
        <v>280</v>
      </c>
      <c r="I2" s="43" t="s">
        <v>281</v>
      </c>
      <c r="J2" s="43" t="s">
        <v>282</v>
      </c>
      <c r="K2" s="43" t="s">
        <v>283</v>
      </c>
      <c r="L2" s="43" t="s">
        <v>284</v>
      </c>
      <c r="M2" s="43" t="s">
        <v>285</v>
      </c>
      <c r="N2" s="44" t="s">
        <v>236</v>
      </c>
      <c r="O2" s="45"/>
    </row>
    <row r="3" spans="1:16" x14ac:dyDescent="0.15">
      <c r="A3" s="1" t="s">
        <v>286</v>
      </c>
      <c r="B3" s="130">
        <f t="shared" ref="B3:M3" si="0">$N$3/12</f>
        <v>0</v>
      </c>
      <c r="C3" s="130">
        <f t="shared" si="0"/>
        <v>0</v>
      </c>
      <c r="D3" s="130">
        <f t="shared" si="0"/>
        <v>0</v>
      </c>
      <c r="E3" s="130">
        <f t="shared" si="0"/>
        <v>0</v>
      </c>
      <c r="F3" s="130">
        <f t="shared" si="0"/>
        <v>0</v>
      </c>
      <c r="G3" s="130">
        <f t="shared" si="0"/>
        <v>0</v>
      </c>
      <c r="H3" s="130">
        <f t="shared" si="0"/>
        <v>0</v>
      </c>
      <c r="I3" s="130">
        <f t="shared" si="0"/>
        <v>0</v>
      </c>
      <c r="J3" s="130">
        <f t="shared" si="0"/>
        <v>0</v>
      </c>
      <c r="K3" s="130">
        <f t="shared" si="0"/>
        <v>0</v>
      </c>
      <c r="L3" s="130">
        <f t="shared" si="0"/>
        <v>0</v>
      </c>
      <c r="M3" s="130">
        <f t="shared" si="0"/>
        <v>0</v>
      </c>
      <c r="N3" s="48">
        <f>Prezzi!K32</f>
        <v>0</v>
      </c>
      <c r="O3" s="1"/>
    </row>
    <row r="4" spans="1:16" x14ac:dyDescent="0.15">
      <c r="A4" s="1" t="s">
        <v>287</v>
      </c>
      <c r="B4" s="64">
        <f>IF(Circolante!$C$28="",0,($N3*Circolante!$C$28)/12)</f>
        <v>0</v>
      </c>
      <c r="C4" s="64">
        <f>IF(Circolante!$C$28="",0,($N3*Circolante!$C$28)/12)</f>
        <v>0</v>
      </c>
      <c r="D4" s="64">
        <f>IF(Circolante!$C$28="",0,($N3*Circolante!$C$28)/12)</f>
        <v>0</v>
      </c>
      <c r="E4" s="64">
        <f>IF(Circolante!$C$28="",0,($N3*Circolante!$C$28)/12)</f>
        <v>0</v>
      </c>
      <c r="F4" s="64">
        <f>IF(Circolante!$C$28="",0,($N3*Circolante!$C$28)/12)</f>
        <v>0</v>
      </c>
      <c r="G4" s="64">
        <f>IF(Circolante!$C$28="",0,($N3*Circolante!$C$28)/12)</f>
        <v>0</v>
      </c>
      <c r="H4" s="64">
        <f>IF(Circolante!$C$28="",0,($N3*Circolante!$C$28)/12)</f>
        <v>0</v>
      </c>
      <c r="I4" s="64">
        <f>IF(Circolante!$C$28="",0,($N3*Circolante!$C$28)/12)</f>
        <v>0</v>
      </c>
      <c r="J4" s="64">
        <f>IF(Circolante!$C$28="",0,($N3*Circolante!$C$28)/12)</f>
        <v>0</v>
      </c>
      <c r="K4" s="64">
        <f>IF(Circolante!$C$28="",0,($N3*Circolante!$C$28)/12)</f>
        <v>0</v>
      </c>
      <c r="L4" s="64">
        <f>IF(Circolante!$C$28="",0,($N3*Circolante!$C$28)/12)</f>
        <v>0</v>
      </c>
      <c r="M4" s="64">
        <f>IF(Circolante!$C$28="",0,($N3*Circolante!$C$28)/12)</f>
        <v>0</v>
      </c>
      <c r="N4" s="48">
        <f>SUM(B4:M4)</f>
        <v>0</v>
      </c>
      <c r="O4" s="1"/>
    </row>
    <row r="5" spans="1:16" x14ac:dyDescent="0.15">
      <c r="A5" s="1" t="s">
        <v>36</v>
      </c>
      <c r="B5" s="64">
        <f>IF(Circolante!$D$30=0,0,Circolante!G9)</f>
        <v>0</v>
      </c>
      <c r="C5" s="64">
        <f>IF(Circolante!$D$30=0,0,Circolante!H9)</f>
        <v>0</v>
      </c>
      <c r="D5" s="64">
        <f>IF(Circolante!$D$30=0,0,Circolante!I9)</f>
        <v>0</v>
      </c>
      <c r="E5" s="64">
        <f>IF(Circolante!$D$30=0,0,Circolante!J9)</f>
        <v>0</v>
      </c>
      <c r="F5" s="64">
        <f>IF(Circolante!$D$30=0,0,Circolante!K9)</f>
        <v>0</v>
      </c>
      <c r="G5" s="64">
        <f>IF(Circolante!$D$30=0,0,Circolante!L9)</f>
        <v>0</v>
      </c>
      <c r="H5" s="64">
        <f>IF(Circolante!$D$30=0,0,Circolante!M9)</f>
        <v>0</v>
      </c>
      <c r="I5" s="64">
        <f>IF(Circolante!$D$30=0,0,Circolante!N9)</f>
        <v>0</v>
      </c>
      <c r="J5" s="64">
        <f>IF(Circolante!$D$30=0,0,Circolante!O9)</f>
        <v>0</v>
      </c>
      <c r="K5" s="64">
        <f>IF(Circolante!$D$30=0,0,Circolante!P9)</f>
        <v>0</v>
      </c>
      <c r="L5" s="64">
        <f>IF(Circolante!$D$30=0,0,Circolante!Q9)</f>
        <v>0</v>
      </c>
      <c r="M5" s="64">
        <f>IF(Circolante!$D$30=0,0,Circolante!R9)</f>
        <v>0</v>
      </c>
      <c r="N5" s="48">
        <f>SUM(B5:M5)</f>
        <v>0</v>
      </c>
      <c r="O5" s="1"/>
    </row>
    <row r="6" spans="1:16" x14ac:dyDescent="0.15">
      <c r="A6" s="1" t="s">
        <v>90</v>
      </c>
      <c r="B6" s="671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48">
        <f>SUM(B6:M6)</f>
        <v>0</v>
      </c>
      <c r="O6" s="1"/>
    </row>
    <row r="7" spans="1:16" x14ac:dyDescent="0.15">
      <c r="A7" s="50" t="s">
        <v>288</v>
      </c>
      <c r="B7" s="52">
        <f>SUM(B4:B6)</f>
        <v>0</v>
      </c>
      <c r="C7" s="52">
        <f t="shared" ref="C7:M7" si="1">SUM(C4:C6)</f>
        <v>0</v>
      </c>
      <c r="D7" s="52">
        <f t="shared" si="1"/>
        <v>0</v>
      </c>
      <c r="E7" s="52">
        <f t="shared" si="1"/>
        <v>0</v>
      </c>
      <c r="F7" s="52">
        <f t="shared" si="1"/>
        <v>0</v>
      </c>
      <c r="G7" s="52">
        <f t="shared" si="1"/>
        <v>0</v>
      </c>
      <c r="H7" s="52">
        <f t="shared" si="1"/>
        <v>0</v>
      </c>
      <c r="I7" s="52">
        <f t="shared" si="1"/>
        <v>0</v>
      </c>
      <c r="J7" s="52">
        <f t="shared" si="1"/>
        <v>0</v>
      </c>
      <c r="K7" s="52">
        <f t="shared" si="1"/>
        <v>0</v>
      </c>
      <c r="L7" s="52">
        <f t="shared" si="1"/>
        <v>0</v>
      </c>
      <c r="M7" s="52">
        <f t="shared" si="1"/>
        <v>0</v>
      </c>
      <c r="N7" s="53">
        <f>SUM(B7:M7)</f>
        <v>0</v>
      </c>
      <c r="O7" s="1"/>
    </row>
    <row r="8" spans="1:16" x14ac:dyDescent="0.15">
      <c r="A8" s="1" t="s">
        <v>289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  <c r="O8" s="74" t="s">
        <v>290</v>
      </c>
    </row>
    <row r="9" spans="1:16" x14ac:dyDescent="0.15">
      <c r="A9" s="1" t="s">
        <v>514</v>
      </c>
      <c r="B9" s="64">
        <f t="shared" ref="B9:B24" si="2">IF($O9="12",$N9/12,IF($O9="I",$N9,0))</f>
        <v>0</v>
      </c>
      <c r="C9" s="64">
        <f t="shared" ref="C9:C24" si="3">IF(OR($O9="12",$O9="6"),$N9/O9,0)</f>
        <v>0</v>
      </c>
      <c r="D9" s="64">
        <f t="shared" ref="D9:D24" si="4">IF(OR($O9="12",$O9="4"),$N9/$O9,0)</f>
        <v>0</v>
      </c>
      <c r="E9" s="64">
        <f t="shared" ref="E9:E24" si="5">IF(OR($O9="12",$O9="6",$O9="3"),$N9/$O9,0)</f>
        <v>0</v>
      </c>
      <c r="F9" s="64">
        <f t="shared" ref="F9:F24" si="6">IF($O9="12",$N9/12,0)</f>
        <v>0</v>
      </c>
      <c r="G9" s="64">
        <f t="shared" ref="G9:G24" si="7">IF(OR($O9="12",$O9="6",$O9="4",$O9="2"),$N9/$O9,0)</f>
        <v>0</v>
      </c>
      <c r="H9" s="64">
        <f t="shared" ref="H9:H24" si="8">IF($O9="12",$N9/12,0)</f>
        <v>0</v>
      </c>
      <c r="I9" s="64">
        <f t="shared" ref="I9:I24" si="9">IF(OR($O9="12",$O9="6",$O9="3"),$N9/$O9,0)</f>
        <v>0</v>
      </c>
      <c r="J9" s="64">
        <f t="shared" ref="J9:J24" si="10">IF(OR($O9="12",$O9="4"),$N9/$O9,0)</f>
        <v>0</v>
      </c>
      <c r="K9" s="64">
        <f t="shared" ref="K9:K24" si="11">IF(OR($O9="12",$O9="6"),$N9/$O9,0)</f>
        <v>0</v>
      </c>
      <c r="L9" s="64">
        <f t="shared" ref="L9:L24" si="12">IF($O9="12",$N9/12,0)</f>
        <v>0</v>
      </c>
      <c r="M9" s="64">
        <f t="shared" ref="M9:M24" si="13">IF(OR($O9="12",$O9="6",$O9="4",$O9="3",$O9="2"),$N9/$O9,IF($O9="F",$N9,0))</f>
        <v>0</v>
      </c>
      <c r="N9" s="48">
        <f>Costi!F8</f>
        <v>0</v>
      </c>
      <c r="O9" s="672" t="s">
        <v>291</v>
      </c>
      <c r="P9" s="47" t="s">
        <v>292</v>
      </c>
    </row>
    <row r="10" spans="1:16" x14ac:dyDescent="0.15">
      <c r="A10" s="46" t="s">
        <v>293</v>
      </c>
      <c r="B10" s="65">
        <f t="shared" si="2"/>
        <v>0</v>
      </c>
      <c r="C10" s="65">
        <f t="shared" si="3"/>
        <v>0</v>
      </c>
      <c r="D10" s="65">
        <f t="shared" si="4"/>
        <v>0</v>
      </c>
      <c r="E10" s="65">
        <f t="shared" si="5"/>
        <v>0</v>
      </c>
      <c r="F10" s="65">
        <f t="shared" si="6"/>
        <v>0</v>
      </c>
      <c r="G10" s="65">
        <f t="shared" si="7"/>
        <v>0</v>
      </c>
      <c r="H10" s="65">
        <f t="shared" si="8"/>
        <v>0</v>
      </c>
      <c r="I10" s="65">
        <f t="shared" si="9"/>
        <v>0</v>
      </c>
      <c r="J10" s="65">
        <f t="shared" si="10"/>
        <v>0</v>
      </c>
      <c r="K10" s="65">
        <f t="shared" si="11"/>
        <v>0</v>
      </c>
      <c r="L10" s="65">
        <f t="shared" si="12"/>
        <v>0</v>
      </c>
      <c r="M10" s="65">
        <f t="shared" si="13"/>
        <v>0</v>
      </c>
      <c r="N10" s="49">
        <f>SUM(Costi!F4:F7)</f>
        <v>0</v>
      </c>
      <c r="O10" s="672" t="s">
        <v>291</v>
      </c>
      <c r="P10" s="47" t="s">
        <v>294</v>
      </c>
    </row>
    <row r="11" spans="1:16" x14ac:dyDescent="0.15">
      <c r="A11" s="46" t="s">
        <v>295</v>
      </c>
      <c r="B11" s="65">
        <f t="shared" si="2"/>
        <v>0</v>
      </c>
      <c r="C11" s="65">
        <f t="shared" si="3"/>
        <v>0</v>
      </c>
      <c r="D11" s="65">
        <f t="shared" si="4"/>
        <v>0</v>
      </c>
      <c r="E11" s="65">
        <f t="shared" si="5"/>
        <v>0</v>
      </c>
      <c r="F11" s="65">
        <f t="shared" si="6"/>
        <v>0</v>
      </c>
      <c r="G11" s="65">
        <f t="shared" si="7"/>
        <v>0</v>
      </c>
      <c r="H11" s="65">
        <f t="shared" si="8"/>
        <v>0</v>
      </c>
      <c r="I11" s="65">
        <f t="shared" si="9"/>
        <v>0</v>
      </c>
      <c r="J11" s="65">
        <f t="shared" si="10"/>
        <v>0</v>
      </c>
      <c r="K11" s="65">
        <f t="shared" si="11"/>
        <v>0</v>
      </c>
      <c r="L11" s="65">
        <f t="shared" si="12"/>
        <v>0</v>
      </c>
      <c r="M11" s="65">
        <f t="shared" si="13"/>
        <v>0</v>
      </c>
      <c r="N11" s="49">
        <f>Costi!F16-Costi!K27</f>
        <v>0</v>
      </c>
      <c r="O11" s="672" t="s">
        <v>291</v>
      </c>
      <c r="P11" s="47" t="s">
        <v>296</v>
      </c>
    </row>
    <row r="12" spans="1:16" x14ac:dyDescent="0.15">
      <c r="A12" s="1" t="str">
        <f>Costi!B19</f>
        <v xml:space="preserve">AVS/AI/IPG </v>
      </c>
      <c r="B12" s="64">
        <f t="shared" si="2"/>
        <v>0</v>
      </c>
      <c r="C12" s="64">
        <f t="shared" si="3"/>
        <v>0</v>
      </c>
      <c r="D12" s="64">
        <f t="shared" si="4"/>
        <v>0</v>
      </c>
      <c r="E12" s="64">
        <f t="shared" si="5"/>
        <v>0</v>
      </c>
      <c r="F12" s="64">
        <f t="shared" si="6"/>
        <v>0</v>
      </c>
      <c r="G12" s="64">
        <f t="shared" si="7"/>
        <v>0</v>
      </c>
      <c r="H12" s="64">
        <f t="shared" si="8"/>
        <v>0</v>
      </c>
      <c r="I12" s="64">
        <f t="shared" si="9"/>
        <v>0</v>
      </c>
      <c r="J12" s="64">
        <f t="shared" si="10"/>
        <v>0</v>
      </c>
      <c r="K12" s="64">
        <f t="shared" si="11"/>
        <v>0</v>
      </c>
      <c r="L12" s="64">
        <f t="shared" si="12"/>
        <v>0</v>
      </c>
      <c r="M12" s="64">
        <f t="shared" si="13"/>
        <v>0</v>
      </c>
      <c r="N12" s="48">
        <f>Costi!F19</f>
        <v>0</v>
      </c>
      <c r="O12" s="672" t="s">
        <v>297</v>
      </c>
      <c r="P12" s="47" t="s">
        <v>298</v>
      </c>
    </row>
    <row r="13" spans="1:16" x14ac:dyDescent="0.15">
      <c r="A13" s="1" t="str">
        <f>Costi!B24</f>
        <v xml:space="preserve">Perdita salario per malattia   </v>
      </c>
      <c r="B13" s="64">
        <f t="shared" si="2"/>
        <v>0</v>
      </c>
      <c r="C13" s="64">
        <f t="shared" si="3"/>
        <v>0</v>
      </c>
      <c r="D13" s="64">
        <f t="shared" si="4"/>
        <v>0</v>
      </c>
      <c r="E13" s="64">
        <f t="shared" si="5"/>
        <v>0</v>
      </c>
      <c r="F13" s="64">
        <f t="shared" si="6"/>
        <v>0</v>
      </c>
      <c r="G13" s="64">
        <f t="shared" si="7"/>
        <v>0</v>
      </c>
      <c r="H13" s="64">
        <f t="shared" si="8"/>
        <v>0</v>
      </c>
      <c r="I13" s="64">
        <f t="shared" si="9"/>
        <v>0</v>
      </c>
      <c r="J13" s="64">
        <f t="shared" si="10"/>
        <v>0</v>
      </c>
      <c r="K13" s="64">
        <f t="shared" si="11"/>
        <v>0</v>
      </c>
      <c r="L13" s="64">
        <f t="shared" si="12"/>
        <v>0</v>
      </c>
      <c r="M13" s="64">
        <f t="shared" si="13"/>
        <v>0</v>
      </c>
      <c r="N13" s="48">
        <f>Costi!F24</f>
        <v>0</v>
      </c>
      <c r="O13" s="672" t="s">
        <v>299</v>
      </c>
      <c r="P13" s="47" t="s">
        <v>300</v>
      </c>
    </row>
    <row r="14" spans="1:16" x14ac:dyDescent="0.15">
      <c r="A14" s="1" t="s">
        <v>301</v>
      </c>
      <c r="B14" s="64">
        <f t="shared" si="2"/>
        <v>0</v>
      </c>
      <c r="C14" s="64">
        <f t="shared" si="3"/>
        <v>0</v>
      </c>
      <c r="D14" s="64">
        <f t="shared" si="4"/>
        <v>0</v>
      </c>
      <c r="E14" s="64">
        <f t="shared" si="5"/>
        <v>0</v>
      </c>
      <c r="F14" s="64">
        <f t="shared" si="6"/>
        <v>0</v>
      </c>
      <c r="G14" s="64">
        <f t="shared" si="7"/>
        <v>0</v>
      </c>
      <c r="H14" s="64">
        <f t="shared" si="8"/>
        <v>0</v>
      </c>
      <c r="I14" s="64">
        <f t="shared" si="9"/>
        <v>0</v>
      </c>
      <c r="J14" s="64">
        <f t="shared" si="10"/>
        <v>0</v>
      </c>
      <c r="K14" s="64">
        <f t="shared" si="11"/>
        <v>0</v>
      </c>
      <c r="L14" s="64">
        <f t="shared" si="12"/>
        <v>0</v>
      </c>
      <c r="M14" s="64">
        <f t="shared" si="13"/>
        <v>0</v>
      </c>
      <c r="N14" s="48">
        <f>Costi!F20+Costi!F21+Costi!F22+Costi!F25</f>
        <v>0</v>
      </c>
      <c r="O14" s="672" t="s">
        <v>297</v>
      </c>
      <c r="P14" s="47" t="s">
        <v>302</v>
      </c>
    </row>
    <row r="15" spans="1:16" x14ac:dyDescent="0.15">
      <c r="A15" s="46" t="str">
        <f>Costi!B26</f>
        <v>Recupero da prestazioni sociali (SI o No)</v>
      </c>
      <c r="B15" s="65">
        <f t="shared" si="2"/>
        <v>0</v>
      </c>
      <c r="C15" s="65">
        <f t="shared" si="3"/>
        <v>0</v>
      </c>
      <c r="D15" s="65">
        <f t="shared" si="4"/>
        <v>0</v>
      </c>
      <c r="E15" s="65">
        <f t="shared" si="5"/>
        <v>0</v>
      </c>
      <c r="F15" s="65">
        <f t="shared" si="6"/>
        <v>0</v>
      </c>
      <c r="G15" s="65">
        <f t="shared" si="7"/>
        <v>0</v>
      </c>
      <c r="H15" s="65">
        <f t="shared" si="8"/>
        <v>0</v>
      </c>
      <c r="I15" s="65">
        <f t="shared" si="9"/>
        <v>0</v>
      </c>
      <c r="J15" s="65">
        <f t="shared" si="10"/>
        <v>0</v>
      </c>
      <c r="K15" s="65">
        <f t="shared" si="11"/>
        <v>0</v>
      </c>
      <c r="L15" s="65">
        <f t="shared" si="12"/>
        <v>0</v>
      </c>
      <c r="M15" s="65">
        <f t="shared" si="13"/>
        <v>0</v>
      </c>
      <c r="N15" s="49">
        <f>Costi!F26</f>
        <v>0</v>
      </c>
      <c r="O15" s="672" t="s">
        <v>303</v>
      </c>
      <c r="P15" s="47" t="s">
        <v>304</v>
      </c>
    </row>
    <row r="16" spans="1:16" x14ac:dyDescent="0.15">
      <c r="A16" s="1" t="s">
        <v>305</v>
      </c>
      <c r="B16" s="64">
        <f t="shared" si="2"/>
        <v>0</v>
      </c>
      <c r="C16" s="64">
        <f t="shared" si="3"/>
        <v>0</v>
      </c>
      <c r="D16" s="64">
        <f t="shared" si="4"/>
        <v>0</v>
      </c>
      <c r="E16" s="64">
        <f t="shared" si="5"/>
        <v>0</v>
      </c>
      <c r="F16" s="64">
        <f t="shared" si="6"/>
        <v>0</v>
      </c>
      <c r="G16" s="64">
        <f t="shared" si="7"/>
        <v>0</v>
      </c>
      <c r="H16" s="64">
        <f t="shared" si="8"/>
        <v>0</v>
      </c>
      <c r="I16" s="64">
        <f t="shared" si="9"/>
        <v>0</v>
      </c>
      <c r="J16" s="64">
        <f t="shared" si="10"/>
        <v>0</v>
      </c>
      <c r="K16" s="64">
        <f t="shared" si="11"/>
        <v>0</v>
      </c>
      <c r="L16" s="64">
        <f t="shared" si="12"/>
        <v>0</v>
      </c>
      <c r="M16" s="64">
        <f t="shared" si="13"/>
        <v>0</v>
      </c>
      <c r="N16" s="48">
        <f>Costi!F30</f>
        <v>0</v>
      </c>
      <c r="O16" s="672" t="s">
        <v>291</v>
      </c>
      <c r="P16" s="68"/>
    </row>
    <row r="17" spans="1:16" x14ac:dyDescent="0.15">
      <c r="A17" s="46" t="s">
        <v>306</v>
      </c>
      <c r="B17" s="65">
        <f t="shared" si="2"/>
        <v>0</v>
      </c>
      <c r="C17" s="65">
        <f t="shared" si="3"/>
        <v>0</v>
      </c>
      <c r="D17" s="65">
        <f t="shared" si="4"/>
        <v>0</v>
      </c>
      <c r="E17" s="65">
        <f t="shared" si="5"/>
        <v>0</v>
      </c>
      <c r="F17" s="65">
        <f t="shared" si="6"/>
        <v>0</v>
      </c>
      <c r="G17" s="65">
        <f t="shared" si="7"/>
        <v>0</v>
      </c>
      <c r="H17" s="65">
        <f t="shared" si="8"/>
        <v>0</v>
      </c>
      <c r="I17" s="65">
        <f t="shared" si="9"/>
        <v>0</v>
      </c>
      <c r="J17" s="65">
        <f t="shared" si="10"/>
        <v>0</v>
      </c>
      <c r="K17" s="65">
        <f t="shared" si="11"/>
        <v>0</v>
      </c>
      <c r="L17" s="65">
        <f t="shared" si="12"/>
        <v>0</v>
      </c>
      <c r="M17" s="65">
        <f t="shared" si="13"/>
        <v>0</v>
      </c>
      <c r="N17" s="49">
        <f>+Costi!F31+Costi!F32</f>
        <v>0</v>
      </c>
      <c r="O17" s="672" t="s">
        <v>291</v>
      </c>
      <c r="P17" s="47"/>
    </row>
    <row r="18" spans="1:16" x14ac:dyDescent="0.15">
      <c r="A18" s="46" t="s">
        <v>307</v>
      </c>
      <c r="B18" s="65">
        <f t="shared" si="2"/>
        <v>0</v>
      </c>
      <c r="C18" s="65">
        <f t="shared" si="3"/>
        <v>0</v>
      </c>
      <c r="D18" s="65">
        <f t="shared" si="4"/>
        <v>0</v>
      </c>
      <c r="E18" s="65">
        <f t="shared" si="5"/>
        <v>0</v>
      </c>
      <c r="F18" s="65">
        <f t="shared" si="6"/>
        <v>0</v>
      </c>
      <c r="G18" s="65">
        <f t="shared" si="7"/>
        <v>0</v>
      </c>
      <c r="H18" s="65">
        <f t="shared" si="8"/>
        <v>0</v>
      </c>
      <c r="I18" s="65">
        <f t="shared" si="9"/>
        <v>0</v>
      </c>
      <c r="J18" s="65">
        <f t="shared" si="10"/>
        <v>0</v>
      </c>
      <c r="K18" s="65">
        <f t="shared" si="11"/>
        <v>0</v>
      </c>
      <c r="L18" s="65">
        <f t="shared" si="12"/>
        <v>0</v>
      </c>
      <c r="M18" s="65">
        <f t="shared" si="13"/>
        <v>0</v>
      </c>
      <c r="N18" s="49">
        <f>Costi!F39</f>
        <v>0</v>
      </c>
      <c r="O18" s="672" t="s">
        <v>291</v>
      </c>
      <c r="P18" s="47"/>
    </row>
    <row r="19" spans="1:16" x14ac:dyDescent="0.15">
      <c r="A19" s="1" t="str">
        <f>Costi!B48</f>
        <v>Carburanti</v>
      </c>
      <c r="B19" s="64">
        <f t="shared" si="2"/>
        <v>0</v>
      </c>
      <c r="C19" s="64">
        <f t="shared" si="3"/>
        <v>0</v>
      </c>
      <c r="D19" s="64">
        <f t="shared" si="4"/>
        <v>0</v>
      </c>
      <c r="E19" s="64">
        <f t="shared" si="5"/>
        <v>0</v>
      </c>
      <c r="F19" s="64">
        <f t="shared" si="6"/>
        <v>0</v>
      </c>
      <c r="G19" s="64">
        <f t="shared" si="7"/>
        <v>0</v>
      </c>
      <c r="H19" s="64">
        <f t="shared" si="8"/>
        <v>0</v>
      </c>
      <c r="I19" s="64">
        <f t="shared" si="9"/>
        <v>0</v>
      </c>
      <c r="J19" s="64">
        <f t="shared" si="10"/>
        <v>0</v>
      </c>
      <c r="K19" s="64">
        <f t="shared" si="11"/>
        <v>0</v>
      </c>
      <c r="L19" s="64">
        <f t="shared" si="12"/>
        <v>0</v>
      </c>
      <c r="M19" s="64">
        <f t="shared" si="13"/>
        <v>0</v>
      </c>
      <c r="N19" s="48">
        <f>Costi!F48</f>
        <v>0</v>
      </c>
      <c r="O19" s="672" t="s">
        <v>291</v>
      </c>
      <c r="P19" s="47"/>
    </row>
    <row r="20" spans="1:16" x14ac:dyDescent="0.15">
      <c r="A20" s="1" t="str">
        <f>Costi!B49</f>
        <v>Assicurazioni</v>
      </c>
      <c r="B20" s="64">
        <f t="shared" si="2"/>
        <v>0</v>
      </c>
      <c r="C20" s="64">
        <f t="shared" si="3"/>
        <v>0</v>
      </c>
      <c r="D20" s="64">
        <f t="shared" si="4"/>
        <v>0</v>
      </c>
      <c r="E20" s="64">
        <f t="shared" si="5"/>
        <v>0</v>
      </c>
      <c r="F20" s="64">
        <f t="shared" si="6"/>
        <v>0</v>
      </c>
      <c r="G20" s="64">
        <f t="shared" si="7"/>
        <v>0</v>
      </c>
      <c r="H20" s="64">
        <f t="shared" si="8"/>
        <v>0</v>
      </c>
      <c r="I20" s="64">
        <f t="shared" si="9"/>
        <v>0</v>
      </c>
      <c r="J20" s="64">
        <f t="shared" si="10"/>
        <v>0</v>
      </c>
      <c r="K20" s="64">
        <f t="shared" si="11"/>
        <v>0</v>
      </c>
      <c r="L20" s="64">
        <f t="shared" si="12"/>
        <v>0</v>
      </c>
      <c r="M20" s="64">
        <f t="shared" si="13"/>
        <v>0</v>
      </c>
      <c r="N20" s="48">
        <f>Costi!F49</f>
        <v>0</v>
      </c>
      <c r="O20" s="672" t="s">
        <v>299</v>
      </c>
    </row>
    <row r="21" spans="1:16" x14ac:dyDescent="0.15">
      <c r="A21" s="1" t="str">
        <f>Costi!B50</f>
        <v>Tasse circolazione</v>
      </c>
      <c r="B21" s="64">
        <f t="shared" si="2"/>
        <v>0</v>
      </c>
      <c r="C21" s="64">
        <f t="shared" si="3"/>
        <v>0</v>
      </c>
      <c r="D21" s="64">
        <f t="shared" si="4"/>
        <v>0</v>
      </c>
      <c r="E21" s="64">
        <f t="shared" si="5"/>
        <v>0</v>
      </c>
      <c r="F21" s="64">
        <f t="shared" si="6"/>
        <v>0</v>
      </c>
      <c r="G21" s="64">
        <f t="shared" si="7"/>
        <v>0</v>
      </c>
      <c r="H21" s="64">
        <f t="shared" si="8"/>
        <v>0</v>
      </c>
      <c r="I21" s="64">
        <f t="shared" si="9"/>
        <v>0</v>
      </c>
      <c r="J21" s="64">
        <f t="shared" si="10"/>
        <v>0</v>
      </c>
      <c r="K21" s="64">
        <f t="shared" si="11"/>
        <v>0</v>
      </c>
      <c r="L21" s="64">
        <f t="shared" si="12"/>
        <v>0</v>
      </c>
      <c r="M21" s="64">
        <f t="shared" si="13"/>
        <v>0</v>
      </c>
      <c r="N21" s="48">
        <f>Costi!F50</f>
        <v>0</v>
      </c>
      <c r="O21" s="672" t="s">
        <v>308</v>
      </c>
    </row>
    <row r="22" spans="1:16" x14ac:dyDescent="0.15">
      <c r="A22" s="46" t="s">
        <v>309</v>
      </c>
      <c r="B22" s="65">
        <f t="shared" si="2"/>
        <v>0</v>
      </c>
      <c r="C22" s="65">
        <f t="shared" si="3"/>
        <v>0</v>
      </c>
      <c r="D22" s="65">
        <f t="shared" si="4"/>
        <v>0</v>
      </c>
      <c r="E22" s="65">
        <f t="shared" si="5"/>
        <v>0</v>
      </c>
      <c r="F22" s="65">
        <f t="shared" si="6"/>
        <v>0</v>
      </c>
      <c r="G22" s="65">
        <f t="shared" si="7"/>
        <v>0</v>
      </c>
      <c r="H22" s="65">
        <f t="shared" si="8"/>
        <v>0</v>
      </c>
      <c r="I22" s="65">
        <f t="shared" si="9"/>
        <v>0</v>
      </c>
      <c r="J22" s="65">
        <f t="shared" si="10"/>
        <v>0</v>
      </c>
      <c r="K22" s="65">
        <f t="shared" si="11"/>
        <v>0</v>
      </c>
      <c r="L22" s="65">
        <f t="shared" si="12"/>
        <v>0</v>
      </c>
      <c r="M22" s="65">
        <f t="shared" si="13"/>
        <v>0</v>
      </c>
      <c r="N22" s="49">
        <f>Costi!F47+Costi!F51+Costi!F52</f>
        <v>0</v>
      </c>
      <c r="O22" s="672" t="s">
        <v>291</v>
      </c>
    </row>
    <row r="23" spans="1:16" x14ac:dyDescent="0.15">
      <c r="A23" s="46" t="s">
        <v>310</v>
      </c>
      <c r="B23" s="65">
        <f t="shared" si="2"/>
        <v>0</v>
      </c>
      <c r="C23" s="65">
        <f t="shared" si="3"/>
        <v>0</v>
      </c>
      <c r="D23" s="65">
        <f t="shared" si="4"/>
        <v>0</v>
      </c>
      <c r="E23" s="65">
        <f t="shared" si="5"/>
        <v>0</v>
      </c>
      <c r="F23" s="65">
        <f t="shared" si="6"/>
        <v>0</v>
      </c>
      <c r="G23" s="65">
        <f t="shared" si="7"/>
        <v>0</v>
      </c>
      <c r="H23" s="65">
        <f t="shared" si="8"/>
        <v>0</v>
      </c>
      <c r="I23" s="65">
        <f t="shared" si="9"/>
        <v>0</v>
      </c>
      <c r="J23" s="65">
        <f t="shared" si="10"/>
        <v>0</v>
      </c>
      <c r="K23" s="65">
        <f t="shared" si="11"/>
        <v>0</v>
      </c>
      <c r="L23" s="65">
        <f t="shared" si="12"/>
        <v>0</v>
      </c>
      <c r="M23" s="65">
        <f t="shared" si="13"/>
        <v>0</v>
      </c>
      <c r="N23" s="49">
        <f>Costi!F59</f>
        <v>0</v>
      </c>
      <c r="O23" s="672" t="s">
        <v>299</v>
      </c>
    </row>
    <row r="24" spans="1:16" x14ac:dyDescent="0.15">
      <c r="A24" s="46" t="str">
        <f>Costi!B64</f>
        <v>Tasse in generale</v>
      </c>
      <c r="B24" s="65">
        <f t="shared" si="2"/>
        <v>0</v>
      </c>
      <c r="C24" s="65">
        <f t="shared" si="3"/>
        <v>0</v>
      </c>
      <c r="D24" s="65">
        <f t="shared" si="4"/>
        <v>0</v>
      </c>
      <c r="E24" s="65">
        <f t="shared" si="5"/>
        <v>0</v>
      </c>
      <c r="F24" s="65">
        <f t="shared" si="6"/>
        <v>0</v>
      </c>
      <c r="G24" s="65">
        <f t="shared" si="7"/>
        <v>0</v>
      </c>
      <c r="H24" s="65">
        <f t="shared" si="8"/>
        <v>0</v>
      </c>
      <c r="I24" s="65">
        <f t="shared" si="9"/>
        <v>0</v>
      </c>
      <c r="J24" s="65">
        <f t="shared" si="10"/>
        <v>0</v>
      </c>
      <c r="K24" s="65">
        <f t="shared" si="11"/>
        <v>0</v>
      </c>
      <c r="L24" s="65">
        <f t="shared" si="12"/>
        <v>0</v>
      </c>
      <c r="M24" s="65">
        <f t="shared" si="13"/>
        <v>0</v>
      </c>
      <c r="N24" s="49">
        <f>Costi!F66</f>
        <v>0</v>
      </c>
      <c r="O24" s="672" t="s">
        <v>303</v>
      </c>
    </row>
    <row r="25" spans="1:16" x14ac:dyDescent="0.15">
      <c r="A25" s="1" t="str">
        <f>Costi!B69</f>
        <v>Elettricità</v>
      </c>
      <c r="B25" s="64">
        <f t="shared" ref="B25:B40" si="14">IF($O25="12",$N25/12,IF($O25="I",$N25,0))</f>
        <v>0</v>
      </c>
      <c r="C25" s="64">
        <f t="shared" ref="C25:C40" si="15">IF(OR($O25="12",$O25="6"),$N25/O25,0)</f>
        <v>0</v>
      </c>
      <c r="D25" s="64">
        <f t="shared" ref="D25:D40" si="16">IF(OR($O25="12",$O25="4"),$N25/$O25,0)</f>
        <v>0</v>
      </c>
      <c r="E25" s="64">
        <f t="shared" ref="E25:E40" si="17">IF(OR($O25="12",$O25="6",$O25="3"),$N25/$O25,0)</f>
        <v>0</v>
      </c>
      <c r="F25" s="64">
        <f t="shared" ref="F25:F40" si="18">IF($O25="12",$N25/12,0)</f>
        <v>0</v>
      </c>
      <c r="G25" s="64">
        <f t="shared" ref="G25:G40" si="19">IF(OR($O25="12",$O25="6",$O25="4",$O25="2"),$N25/$O25,0)</f>
        <v>0</v>
      </c>
      <c r="H25" s="64">
        <f t="shared" ref="H25:H40" si="20">IF($O25="12",$N25/12,0)</f>
        <v>0</v>
      </c>
      <c r="I25" s="64">
        <f t="shared" ref="I25:I40" si="21">IF(OR($O25="12",$O25="6",$O25="3"),$N25/$O25,0)</f>
        <v>0</v>
      </c>
      <c r="J25" s="64">
        <f t="shared" ref="J25:J40" si="22">IF(OR($O25="12",$O25="4"),$N25/$O25,0)</f>
        <v>0</v>
      </c>
      <c r="K25" s="64">
        <f t="shared" ref="K25:K40" si="23">IF(OR($O25="12",$O25="6"),$N25/$O25,0)</f>
        <v>0</v>
      </c>
      <c r="L25" s="64">
        <f t="shared" ref="L25:L40" si="24">IF($O25="12",$N25/12,0)</f>
        <v>0</v>
      </c>
      <c r="M25" s="64">
        <f t="shared" ref="M25:M40" si="25">IF(OR($O25="12",$O25="6",$O25="4",$O25="3",$O25="2"),$N25/$O25,IF($O25="F",$N25,0))</f>
        <v>0</v>
      </c>
      <c r="N25" s="48">
        <f>Costi!F69</f>
        <v>0</v>
      </c>
      <c r="O25" s="672" t="s">
        <v>297</v>
      </c>
    </row>
    <row r="26" spans="1:16" x14ac:dyDescent="0.15">
      <c r="A26" s="1" t="str">
        <f>Costi!B71</f>
        <v>Acqua</v>
      </c>
      <c r="B26" s="64">
        <f t="shared" si="14"/>
        <v>0</v>
      </c>
      <c r="C26" s="64">
        <f t="shared" si="15"/>
        <v>0</v>
      </c>
      <c r="D26" s="64">
        <f t="shared" si="16"/>
        <v>0</v>
      </c>
      <c r="E26" s="64">
        <f t="shared" si="17"/>
        <v>0</v>
      </c>
      <c r="F26" s="64">
        <f t="shared" si="18"/>
        <v>0</v>
      </c>
      <c r="G26" s="64">
        <f t="shared" si="19"/>
        <v>0</v>
      </c>
      <c r="H26" s="64">
        <f t="shared" si="20"/>
        <v>0</v>
      </c>
      <c r="I26" s="64">
        <f t="shared" si="21"/>
        <v>0</v>
      </c>
      <c r="J26" s="64">
        <f t="shared" si="22"/>
        <v>0</v>
      </c>
      <c r="K26" s="64">
        <f t="shared" si="23"/>
        <v>0</v>
      </c>
      <c r="L26" s="64">
        <f t="shared" si="24"/>
        <v>0</v>
      </c>
      <c r="M26" s="64">
        <f t="shared" si="25"/>
        <v>0</v>
      </c>
      <c r="N26" s="48">
        <f>Costi!F71</f>
        <v>0</v>
      </c>
      <c r="O26" s="672" t="s">
        <v>299</v>
      </c>
    </row>
    <row r="27" spans="1:16" x14ac:dyDescent="0.15">
      <c r="A27" s="46" t="str">
        <f>Costi!B72</f>
        <v>Smaltimento rifiuti</v>
      </c>
      <c r="B27" s="65">
        <f t="shared" si="14"/>
        <v>0</v>
      </c>
      <c r="C27" s="65">
        <f t="shared" si="15"/>
        <v>0</v>
      </c>
      <c r="D27" s="65">
        <f t="shared" si="16"/>
        <v>0</v>
      </c>
      <c r="E27" s="65">
        <f t="shared" si="17"/>
        <v>0</v>
      </c>
      <c r="F27" s="65">
        <f t="shared" si="18"/>
        <v>0</v>
      </c>
      <c r="G27" s="65">
        <f t="shared" si="19"/>
        <v>0</v>
      </c>
      <c r="H27" s="65">
        <f t="shared" si="20"/>
        <v>0</v>
      </c>
      <c r="I27" s="65">
        <f t="shared" si="21"/>
        <v>0</v>
      </c>
      <c r="J27" s="65">
        <f t="shared" si="22"/>
        <v>0</v>
      </c>
      <c r="K27" s="65">
        <f t="shared" si="23"/>
        <v>0</v>
      </c>
      <c r="L27" s="65">
        <f t="shared" si="24"/>
        <v>0</v>
      </c>
      <c r="M27" s="65">
        <f t="shared" si="25"/>
        <v>0</v>
      </c>
      <c r="N27" s="49">
        <f>Costi!F72</f>
        <v>0</v>
      </c>
      <c r="O27" s="672" t="s">
        <v>303</v>
      </c>
    </row>
    <row r="28" spans="1:16" x14ac:dyDescent="0.15">
      <c r="A28" s="1" t="str">
        <f>Costi!B77</f>
        <v>Stampanti e fotocopiatrici</v>
      </c>
      <c r="B28" s="64">
        <f t="shared" si="14"/>
        <v>0</v>
      </c>
      <c r="C28" s="64">
        <f t="shared" si="15"/>
        <v>0</v>
      </c>
      <c r="D28" s="64">
        <f t="shared" si="16"/>
        <v>0</v>
      </c>
      <c r="E28" s="64">
        <f t="shared" si="17"/>
        <v>0</v>
      </c>
      <c r="F28" s="64">
        <f t="shared" si="18"/>
        <v>0</v>
      </c>
      <c r="G28" s="64">
        <f t="shared" si="19"/>
        <v>0</v>
      </c>
      <c r="H28" s="64">
        <f t="shared" si="20"/>
        <v>0</v>
      </c>
      <c r="I28" s="64">
        <f t="shared" si="21"/>
        <v>0</v>
      </c>
      <c r="J28" s="64">
        <f t="shared" si="22"/>
        <v>0</v>
      </c>
      <c r="K28" s="64">
        <f t="shared" si="23"/>
        <v>0</v>
      </c>
      <c r="L28" s="64">
        <f t="shared" si="24"/>
        <v>0</v>
      </c>
      <c r="M28" s="64">
        <f t="shared" si="25"/>
        <v>0</v>
      </c>
      <c r="N28" s="48">
        <f>Costi!F77+Costi!F76</f>
        <v>0</v>
      </c>
      <c r="O28" s="672" t="s">
        <v>291</v>
      </c>
    </row>
    <row r="29" spans="1:16" x14ac:dyDescent="0.15">
      <c r="A29" s="1" t="str">
        <f>Costi!B78</f>
        <v>Telefono, fax, E-Mail</v>
      </c>
      <c r="B29" s="64">
        <f t="shared" si="14"/>
        <v>0</v>
      </c>
      <c r="C29" s="64">
        <f t="shared" si="15"/>
        <v>0</v>
      </c>
      <c r="D29" s="64">
        <f t="shared" si="16"/>
        <v>0</v>
      </c>
      <c r="E29" s="64">
        <f t="shared" si="17"/>
        <v>0</v>
      </c>
      <c r="F29" s="64">
        <f t="shared" si="18"/>
        <v>0</v>
      </c>
      <c r="G29" s="64">
        <f t="shared" si="19"/>
        <v>0</v>
      </c>
      <c r="H29" s="64">
        <f t="shared" si="20"/>
        <v>0</v>
      </c>
      <c r="I29" s="64">
        <f t="shared" si="21"/>
        <v>0</v>
      </c>
      <c r="J29" s="64">
        <f t="shared" si="22"/>
        <v>0</v>
      </c>
      <c r="K29" s="64">
        <f t="shared" si="23"/>
        <v>0</v>
      </c>
      <c r="L29" s="64">
        <f t="shared" si="24"/>
        <v>0</v>
      </c>
      <c r="M29" s="64">
        <f t="shared" si="25"/>
        <v>0</v>
      </c>
      <c r="N29" s="48">
        <f>Costi!F78</f>
        <v>0</v>
      </c>
      <c r="O29" s="672" t="s">
        <v>291</v>
      </c>
    </row>
    <row r="30" spans="1:16" x14ac:dyDescent="0.15">
      <c r="A30" s="1" t="str">
        <f>Costi!B79</f>
        <v>Porti</v>
      </c>
      <c r="B30" s="64">
        <f t="shared" si="14"/>
        <v>0</v>
      </c>
      <c r="C30" s="64">
        <f t="shared" si="15"/>
        <v>0</v>
      </c>
      <c r="D30" s="64">
        <f t="shared" si="16"/>
        <v>0</v>
      </c>
      <c r="E30" s="64">
        <f t="shared" si="17"/>
        <v>0</v>
      </c>
      <c r="F30" s="64">
        <f t="shared" si="18"/>
        <v>0</v>
      </c>
      <c r="G30" s="64">
        <f t="shared" si="19"/>
        <v>0</v>
      </c>
      <c r="H30" s="64">
        <f t="shared" si="20"/>
        <v>0</v>
      </c>
      <c r="I30" s="64">
        <f t="shared" si="21"/>
        <v>0</v>
      </c>
      <c r="J30" s="64">
        <f t="shared" si="22"/>
        <v>0</v>
      </c>
      <c r="K30" s="64">
        <f t="shared" si="23"/>
        <v>0</v>
      </c>
      <c r="L30" s="64">
        <f t="shared" si="24"/>
        <v>0</v>
      </c>
      <c r="M30" s="64">
        <f t="shared" si="25"/>
        <v>0</v>
      </c>
      <c r="N30" s="48">
        <f>Costi!F79</f>
        <v>0</v>
      </c>
      <c r="O30" s="672" t="s">
        <v>291</v>
      </c>
    </row>
    <row r="31" spans="1:16" x14ac:dyDescent="0.15">
      <c r="A31" s="46" t="str">
        <f>Costi!B80</f>
        <v xml:space="preserve">Diversi costi </v>
      </c>
      <c r="B31" s="65">
        <f t="shared" si="14"/>
        <v>0</v>
      </c>
      <c r="C31" s="65">
        <f t="shared" si="15"/>
        <v>0</v>
      </c>
      <c r="D31" s="65">
        <f t="shared" si="16"/>
        <v>0</v>
      </c>
      <c r="E31" s="65">
        <f t="shared" si="17"/>
        <v>0</v>
      </c>
      <c r="F31" s="65">
        <f t="shared" si="18"/>
        <v>0</v>
      </c>
      <c r="G31" s="65">
        <f t="shared" si="19"/>
        <v>0</v>
      </c>
      <c r="H31" s="65">
        <f t="shared" si="20"/>
        <v>0</v>
      </c>
      <c r="I31" s="65">
        <f t="shared" si="21"/>
        <v>0</v>
      </c>
      <c r="J31" s="65">
        <f t="shared" si="22"/>
        <v>0</v>
      </c>
      <c r="K31" s="65">
        <f t="shared" si="23"/>
        <v>0</v>
      </c>
      <c r="L31" s="65">
        <f t="shared" si="24"/>
        <v>0</v>
      </c>
      <c r="M31" s="65">
        <f t="shared" si="25"/>
        <v>0</v>
      </c>
      <c r="N31" s="49">
        <f>Costi!F80+Costi!F81</f>
        <v>0</v>
      </c>
      <c r="O31" s="672" t="s">
        <v>291</v>
      </c>
    </row>
    <row r="32" spans="1:16" x14ac:dyDescent="0.15">
      <c r="A32" s="1" t="str">
        <f>Costi!B85</f>
        <v>Inserzioni</v>
      </c>
      <c r="B32" s="64">
        <f t="shared" si="14"/>
        <v>0</v>
      </c>
      <c r="C32" s="64">
        <f t="shared" si="15"/>
        <v>0</v>
      </c>
      <c r="D32" s="64">
        <f t="shared" si="16"/>
        <v>0</v>
      </c>
      <c r="E32" s="64">
        <f t="shared" si="17"/>
        <v>0</v>
      </c>
      <c r="F32" s="64">
        <f t="shared" si="18"/>
        <v>0</v>
      </c>
      <c r="G32" s="64">
        <f t="shared" si="19"/>
        <v>0</v>
      </c>
      <c r="H32" s="64">
        <f t="shared" si="20"/>
        <v>0</v>
      </c>
      <c r="I32" s="64">
        <f t="shared" si="21"/>
        <v>0</v>
      </c>
      <c r="J32" s="64">
        <f t="shared" si="22"/>
        <v>0</v>
      </c>
      <c r="K32" s="64">
        <f t="shared" si="23"/>
        <v>0</v>
      </c>
      <c r="L32" s="64">
        <f t="shared" si="24"/>
        <v>0</v>
      </c>
      <c r="M32" s="64">
        <f t="shared" si="25"/>
        <v>0</v>
      </c>
      <c r="N32" s="48">
        <f>Costi!F85+Costi!F86+Costi!F87</f>
        <v>0</v>
      </c>
      <c r="O32" s="672" t="s">
        <v>297</v>
      </c>
    </row>
    <row r="33" spans="1:17" x14ac:dyDescent="0.15">
      <c r="A33" s="46" t="str">
        <f>Costi!B89</f>
        <v>Pubbliche relazioni</v>
      </c>
      <c r="B33" s="65">
        <f t="shared" si="14"/>
        <v>0</v>
      </c>
      <c r="C33" s="65">
        <f t="shared" si="15"/>
        <v>0</v>
      </c>
      <c r="D33" s="65">
        <f t="shared" si="16"/>
        <v>0</v>
      </c>
      <c r="E33" s="65">
        <f t="shared" si="17"/>
        <v>0</v>
      </c>
      <c r="F33" s="65">
        <f t="shared" si="18"/>
        <v>0</v>
      </c>
      <c r="G33" s="65">
        <f t="shared" si="19"/>
        <v>0</v>
      </c>
      <c r="H33" s="65">
        <f t="shared" si="20"/>
        <v>0</v>
      </c>
      <c r="I33" s="65">
        <f t="shared" si="21"/>
        <v>0</v>
      </c>
      <c r="J33" s="65">
        <f t="shared" si="22"/>
        <v>0</v>
      </c>
      <c r="K33" s="65">
        <f t="shared" si="23"/>
        <v>0</v>
      </c>
      <c r="L33" s="65">
        <f t="shared" si="24"/>
        <v>0</v>
      </c>
      <c r="M33" s="65">
        <f t="shared" si="25"/>
        <v>0</v>
      </c>
      <c r="N33" s="49">
        <f>Costi!F88+Costi!F89</f>
        <v>0</v>
      </c>
      <c r="O33" s="672" t="s">
        <v>299</v>
      </c>
    </row>
    <row r="34" spans="1:17" x14ac:dyDescent="0.15">
      <c r="A34" s="1" t="str">
        <f>Costi!B93</f>
        <v>Gestione CCP</v>
      </c>
      <c r="B34" s="64">
        <f t="shared" si="14"/>
        <v>0</v>
      </c>
      <c r="C34" s="64">
        <f t="shared" si="15"/>
        <v>0</v>
      </c>
      <c r="D34" s="64">
        <f t="shared" si="16"/>
        <v>0</v>
      </c>
      <c r="E34" s="64">
        <f t="shared" si="17"/>
        <v>0</v>
      </c>
      <c r="F34" s="64">
        <f t="shared" si="18"/>
        <v>0</v>
      </c>
      <c r="G34" s="64">
        <f t="shared" si="19"/>
        <v>0</v>
      </c>
      <c r="H34" s="64">
        <f t="shared" si="20"/>
        <v>0</v>
      </c>
      <c r="I34" s="64">
        <f t="shared" si="21"/>
        <v>0</v>
      </c>
      <c r="J34" s="64">
        <f t="shared" si="22"/>
        <v>0</v>
      </c>
      <c r="K34" s="64">
        <f t="shared" si="23"/>
        <v>0</v>
      </c>
      <c r="L34" s="64">
        <f t="shared" si="24"/>
        <v>0</v>
      </c>
      <c r="M34" s="64">
        <f t="shared" si="25"/>
        <v>0</v>
      </c>
      <c r="N34" s="48">
        <f>Costi!F93+Costi!F94+Costi!F95</f>
        <v>0</v>
      </c>
      <c r="O34" s="672" t="s">
        <v>303</v>
      </c>
    </row>
    <row r="35" spans="1:17" x14ac:dyDescent="0.15">
      <c r="A35" s="46" t="str">
        <f>Costi!B96</f>
        <v>Interessi passivi bancari</v>
      </c>
      <c r="B35" s="65">
        <f t="shared" si="14"/>
        <v>0</v>
      </c>
      <c r="C35" s="65">
        <f t="shared" si="15"/>
        <v>0</v>
      </c>
      <c r="D35" s="65">
        <f t="shared" si="16"/>
        <v>0</v>
      </c>
      <c r="E35" s="65">
        <f t="shared" si="17"/>
        <v>0</v>
      </c>
      <c r="F35" s="65">
        <f t="shared" si="18"/>
        <v>0</v>
      </c>
      <c r="G35" s="65">
        <f t="shared" si="19"/>
        <v>0</v>
      </c>
      <c r="H35" s="65">
        <f t="shared" si="20"/>
        <v>0</v>
      </c>
      <c r="I35" s="65">
        <f t="shared" si="21"/>
        <v>0</v>
      </c>
      <c r="J35" s="65">
        <f t="shared" si="22"/>
        <v>0</v>
      </c>
      <c r="K35" s="65">
        <f t="shared" si="23"/>
        <v>0</v>
      </c>
      <c r="L35" s="65">
        <f t="shared" si="24"/>
        <v>0</v>
      </c>
      <c r="M35" s="65">
        <f t="shared" si="25"/>
        <v>0</v>
      </c>
      <c r="N35" s="49">
        <f>Costi!F96+Costi!F101</f>
        <v>0</v>
      </c>
      <c r="O35" s="672" t="s">
        <v>299</v>
      </c>
    </row>
    <row r="36" spans="1:17" x14ac:dyDescent="0.15">
      <c r="A36" s="1" t="str">
        <f>Costi!B105</f>
        <v>Installazioni, riparazioni</v>
      </c>
      <c r="B36" s="64">
        <f t="shared" si="14"/>
        <v>0</v>
      </c>
      <c r="C36" s="64">
        <f t="shared" si="15"/>
        <v>0</v>
      </c>
      <c r="D36" s="64">
        <f t="shared" si="16"/>
        <v>0</v>
      </c>
      <c r="E36" s="64">
        <f t="shared" si="17"/>
        <v>0</v>
      </c>
      <c r="F36" s="64">
        <f t="shared" si="18"/>
        <v>0</v>
      </c>
      <c r="G36" s="64">
        <f t="shared" si="19"/>
        <v>0</v>
      </c>
      <c r="H36" s="64">
        <f t="shared" si="20"/>
        <v>0</v>
      </c>
      <c r="I36" s="64">
        <f t="shared" si="21"/>
        <v>0</v>
      </c>
      <c r="J36" s="64">
        <f t="shared" si="22"/>
        <v>0</v>
      </c>
      <c r="K36" s="64">
        <f t="shared" si="23"/>
        <v>0</v>
      </c>
      <c r="L36" s="64">
        <f t="shared" si="24"/>
        <v>0</v>
      </c>
      <c r="M36" s="64">
        <f t="shared" si="25"/>
        <v>0</v>
      </c>
      <c r="N36" s="48">
        <f>Costi!F105</f>
        <v>0</v>
      </c>
      <c r="O36" s="672" t="s">
        <v>303</v>
      </c>
    </row>
    <row r="37" spans="1:17" x14ac:dyDescent="0.15">
      <c r="A37" s="1" t="str">
        <f>Costi!B106</f>
        <v>Arredamento</v>
      </c>
      <c r="B37" s="64">
        <f t="shared" si="14"/>
        <v>0</v>
      </c>
      <c r="C37" s="64">
        <f t="shared" si="15"/>
        <v>0</v>
      </c>
      <c r="D37" s="64">
        <f t="shared" si="16"/>
        <v>0</v>
      </c>
      <c r="E37" s="64">
        <f t="shared" si="17"/>
        <v>0</v>
      </c>
      <c r="F37" s="64">
        <f t="shared" si="18"/>
        <v>0</v>
      </c>
      <c r="G37" s="64">
        <f t="shared" si="19"/>
        <v>0</v>
      </c>
      <c r="H37" s="64">
        <f t="shared" si="20"/>
        <v>0</v>
      </c>
      <c r="I37" s="64">
        <f t="shared" si="21"/>
        <v>0</v>
      </c>
      <c r="J37" s="64">
        <f t="shared" si="22"/>
        <v>0</v>
      </c>
      <c r="K37" s="64">
        <f t="shared" si="23"/>
        <v>0</v>
      </c>
      <c r="L37" s="64">
        <f t="shared" si="24"/>
        <v>0</v>
      </c>
      <c r="M37" s="64">
        <f t="shared" si="25"/>
        <v>0</v>
      </c>
      <c r="N37" s="48">
        <f>Costi!F106</f>
        <v>0</v>
      </c>
      <c r="O37" s="672" t="s">
        <v>303</v>
      </c>
    </row>
    <row r="38" spans="1:17" x14ac:dyDescent="0.15">
      <c r="A38" s="1" t="s">
        <v>56</v>
      </c>
      <c r="B38" s="64">
        <f t="shared" si="14"/>
        <v>0</v>
      </c>
      <c r="C38" s="64">
        <f t="shared" si="15"/>
        <v>0</v>
      </c>
      <c r="D38" s="64">
        <f t="shared" si="16"/>
        <v>0</v>
      </c>
      <c r="E38" s="64">
        <f t="shared" si="17"/>
        <v>0</v>
      </c>
      <c r="F38" s="64">
        <f t="shared" si="18"/>
        <v>0</v>
      </c>
      <c r="G38" s="64">
        <f t="shared" si="19"/>
        <v>0</v>
      </c>
      <c r="H38" s="64">
        <f t="shared" si="20"/>
        <v>0</v>
      </c>
      <c r="I38" s="64">
        <f t="shared" si="21"/>
        <v>0</v>
      </c>
      <c r="J38" s="64">
        <f t="shared" si="22"/>
        <v>0</v>
      </c>
      <c r="K38" s="64">
        <f t="shared" si="23"/>
        <v>0</v>
      </c>
      <c r="L38" s="64">
        <f t="shared" si="24"/>
        <v>0</v>
      </c>
      <c r="M38" s="64">
        <f t="shared" si="25"/>
        <v>0</v>
      </c>
      <c r="N38" s="48">
        <f>Costi!F44</f>
        <v>0</v>
      </c>
      <c r="O38" s="672" t="s">
        <v>291</v>
      </c>
    </row>
    <row r="39" spans="1:17" x14ac:dyDescent="0.15">
      <c r="A39" s="1" t="str">
        <f>Costi!B108</f>
        <v>Attrezzature</v>
      </c>
      <c r="B39" s="64">
        <f t="shared" si="14"/>
        <v>0</v>
      </c>
      <c r="C39" s="64">
        <f t="shared" si="15"/>
        <v>0</v>
      </c>
      <c r="D39" s="64">
        <f t="shared" si="16"/>
        <v>0</v>
      </c>
      <c r="E39" s="64">
        <f t="shared" si="17"/>
        <v>0</v>
      </c>
      <c r="F39" s="64">
        <f t="shared" si="18"/>
        <v>0</v>
      </c>
      <c r="G39" s="64">
        <f t="shared" si="19"/>
        <v>0</v>
      </c>
      <c r="H39" s="64">
        <f t="shared" si="20"/>
        <v>0</v>
      </c>
      <c r="I39" s="64">
        <f t="shared" si="21"/>
        <v>0</v>
      </c>
      <c r="J39" s="64">
        <f t="shared" si="22"/>
        <v>0</v>
      </c>
      <c r="K39" s="64">
        <f t="shared" si="23"/>
        <v>0</v>
      </c>
      <c r="L39" s="64">
        <f t="shared" si="24"/>
        <v>0</v>
      </c>
      <c r="M39" s="64">
        <f t="shared" si="25"/>
        <v>0</v>
      </c>
      <c r="N39" s="48">
        <f>Costi!F108</f>
        <v>0</v>
      </c>
      <c r="O39" s="672" t="s">
        <v>303</v>
      </c>
    </row>
    <row r="40" spans="1:17" x14ac:dyDescent="0.15">
      <c r="A40" s="46" t="str">
        <f>Costi!B109</f>
        <v xml:space="preserve">Fondazione </v>
      </c>
      <c r="B40" s="64">
        <f t="shared" si="14"/>
        <v>0</v>
      </c>
      <c r="C40" s="64">
        <f t="shared" si="15"/>
        <v>0</v>
      </c>
      <c r="D40" s="64">
        <f t="shared" si="16"/>
        <v>0</v>
      </c>
      <c r="E40" s="64">
        <f t="shared" si="17"/>
        <v>0</v>
      </c>
      <c r="F40" s="64">
        <f t="shared" si="18"/>
        <v>0</v>
      </c>
      <c r="G40" s="64">
        <f t="shared" si="19"/>
        <v>0</v>
      </c>
      <c r="H40" s="64">
        <f t="shared" si="20"/>
        <v>0</v>
      </c>
      <c r="I40" s="64">
        <f t="shared" si="21"/>
        <v>0</v>
      </c>
      <c r="J40" s="64">
        <f t="shared" si="22"/>
        <v>0</v>
      </c>
      <c r="K40" s="64">
        <f t="shared" si="23"/>
        <v>0</v>
      </c>
      <c r="L40" s="64">
        <f t="shared" si="24"/>
        <v>0</v>
      </c>
      <c r="M40" s="64">
        <f t="shared" si="25"/>
        <v>0</v>
      </c>
      <c r="N40" s="49">
        <f>Costi!F109</f>
        <v>0</v>
      </c>
      <c r="O40" s="675" t="s">
        <v>303</v>
      </c>
    </row>
    <row r="41" spans="1:17" ht="14" thickBot="1" x14ac:dyDescent="0.2">
      <c r="A41" s="134" t="str">
        <f>Costi!B112</f>
        <v>TOTALE DEI COSTI</v>
      </c>
      <c r="B41" s="135">
        <f t="shared" ref="B41:L41" si="26">SUM(B9:B40)</f>
        <v>0</v>
      </c>
      <c r="C41" s="135">
        <f t="shared" si="26"/>
        <v>0</v>
      </c>
      <c r="D41" s="135">
        <f t="shared" si="26"/>
        <v>0</v>
      </c>
      <c r="E41" s="135">
        <f t="shared" si="26"/>
        <v>0</v>
      </c>
      <c r="F41" s="135">
        <f t="shared" si="26"/>
        <v>0</v>
      </c>
      <c r="G41" s="135">
        <f t="shared" si="26"/>
        <v>0</v>
      </c>
      <c r="H41" s="135">
        <f t="shared" si="26"/>
        <v>0</v>
      </c>
      <c r="I41" s="135">
        <f t="shared" si="26"/>
        <v>0</v>
      </c>
      <c r="J41" s="135">
        <f t="shared" si="26"/>
        <v>0</v>
      </c>
      <c r="K41" s="135">
        <f t="shared" si="26"/>
        <v>0</v>
      </c>
      <c r="L41" s="135">
        <f t="shared" si="26"/>
        <v>0</v>
      </c>
      <c r="M41" s="135">
        <f>SUM(M9:M40)</f>
        <v>0</v>
      </c>
      <c r="N41" s="136">
        <f>Costi!F113+Costi!F101</f>
        <v>0</v>
      </c>
      <c r="O41" s="674"/>
      <c r="P41" s="676"/>
    </row>
    <row r="42" spans="1:17" ht="15" thickTop="1" thickBot="1" x14ac:dyDescent="0.2">
      <c r="A42" s="41" t="s">
        <v>311</v>
      </c>
      <c r="B42" s="137">
        <f>Tes.1°!M42+B7-B41</f>
        <v>0</v>
      </c>
      <c r="C42" s="137">
        <f t="shared" ref="C42:M42" si="27">B42+C7-C41</f>
        <v>0</v>
      </c>
      <c r="D42" s="137">
        <f t="shared" si="27"/>
        <v>0</v>
      </c>
      <c r="E42" s="137">
        <f t="shared" si="27"/>
        <v>0</v>
      </c>
      <c r="F42" s="137">
        <f t="shared" si="27"/>
        <v>0</v>
      </c>
      <c r="G42" s="137">
        <f t="shared" si="27"/>
        <v>0</v>
      </c>
      <c r="H42" s="137">
        <f t="shared" si="27"/>
        <v>0</v>
      </c>
      <c r="I42" s="137">
        <f t="shared" si="27"/>
        <v>0</v>
      </c>
      <c r="J42" s="137">
        <f t="shared" si="27"/>
        <v>0</v>
      </c>
      <c r="K42" s="137">
        <f t="shared" si="27"/>
        <v>0</v>
      </c>
      <c r="L42" s="137">
        <f t="shared" si="27"/>
        <v>0</v>
      </c>
      <c r="M42" s="137">
        <f t="shared" si="27"/>
        <v>0</v>
      </c>
      <c r="N42" s="673"/>
      <c r="O42" s="718" t="s">
        <v>504</v>
      </c>
    </row>
    <row r="43" spans="1:17" s="1" customFormat="1" ht="14" thickTop="1" x14ac:dyDescent="0.15">
      <c r="B43" s="113"/>
      <c r="Q43" s="120">
        <v>1</v>
      </c>
    </row>
    <row r="44" spans="1:17" s="1" customFormat="1" x14ac:dyDescent="0.15">
      <c r="B44" s="113"/>
      <c r="Q44" s="120">
        <v>2</v>
      </c>
    </row>
    <row r="45" spans="1:17" s="1" customFormat="1" x14ac:dyDescent="0.15">
      <c r="B45" s="113" t="s">
        <v>312</v>
      </c>
      <c r="C45" s="113" t="s">
        <v>313</v>
      </c>
      <c r="D45" s="113" t="s">
        <v>314</v>
      </c>
      <c r="E45" s="113" t="s">
        <v>315</v>
      </c>
      <c r="F45" s="113" t="s">
        <v>316</v>
      </c>
      <c r="G45" s="113" t="s">
        <v>317</v>
      </c>
      <c r="H45" s="113" t="s">
        <v>318</v>
      </c>
      <c r="I45" s="113" t="s">
        <v>319</v>
      </c>
      <c r="J45" s="113" t="s">
        <v>320</v>
      </c>
      <c r="K45" s="113" t="s">
        <v>321</v>
      </c>
      <c r="L45" s="113" t="s">
        <v>322</v>
      </c>
      <c r="M45" s="113" t="s">
        <v>323</v>
      </c>
      <c r="Q45" s="120">
        <v>3</v>
      </c>
    </row>
    <row r="46" spans="1:17" s="1" customFormat="1" x14ac:dyDescent="0.15">
      <c r="A46" s="1" t="s">
        <v>327</v>
      </c>
      <c r="B46" s="113">
        <f>Tes.1°!B7</f>
        <v>0</v>
      </c>
      <c r="C46" s="113">
        <f>Tes.1°!C7</f>
        <v>0</v>
      </c>
      <c r="D46" s="113">
        <f>Tes.1°!D7</f>
        <v>0</v>
      </c>
      <c r="E46" s="113">
        <f>Tes.1°!E7</f>
        <v>0</v>
      </c>
      <c r="F46" s="113">
        <f>Tes.1°!F7</f>
        <v>0</v>
      </c>
      <c r="G46" s="113">
        <f>Tes.1°!G7</f>
        <v>0</v>
      </c>
      <c r="H46" s="113">
        <f>Tes.1°!H7</f>
        <v>0</v>
      </c>
      <c r="I46" s="113">
        <f>Tes.1°!I7</f>
        <v>0</v>
      </c>
      <c r="J46" s="113">
        <f>Tes.1°!J7</f>
        <v>0</v>
      </c>
      <c r="K46" s="113">
        <f>Tes.1°!K7</f>
        <v>0</v>
      </c>
      <c r="L46" s="113">
        <f>Tes.1°!L7</f>
        <v>0</v>
      </c>
      <c r="M46" s="113">
        <f>Tes.1°!M7</f>
        <v>0</v>
      </c>
      <c r="Q46" s="120">
        <v>4</v>
      </c>
    </row>
    <row r="47" spans="1:17" s="1" customFormat="1" x14ac:dyDescent="0.15">
      <c r="A47" s="1" t="s">
        <v>328</v>
      </c>
      <c r="B47" s="113">
        <f t="shared" ref="B47:M47" si="28">B7</f>
        <v>0</v>
      </c>
      <c r="C47" s="113">
        <f t="shared" si="28"/>
        <v>0</v>
      </c>
      <c r="D47" s="113">
        <f t="shared" si="28"/>
        <v>0</v>
      </c>
      <c r="E47" s="113">
        <f t="shared" si="28"/>
        <v>0</v>
      </c>
      <c r="F47" s="113">
        <f t="shared" si="28"/>
        <v>0</v>
      </c>
      <c r="G47" s="113">
        <f t="shared" si="28"/>
        <v>0</v>
      </c>
      <c r="H47" s="113">
        <f t="shared" si="28"/>
        <v>0</v>
      </c>
      <c r="I47" s="113">
        <f t="shared" si="28"/>
        <v>0</v>
      </c>
      <c r="J47" s="113">
        <f t="shared" si="28"/>
        <v>0</v>
      </c>
      <c r="K47" s="113">
        <f t="shared" si="28"/>
        <v>0</v>
      </c>
      <c r="L47" s="113">
        <f t="shared" si="28"/>
        <v>0</v>
      </c>
      <c r="M47" s="113">
        <f t="shared" si="28"/>
        <v>0</v>
      </c>
      <c r="Q47" s="120">
        <v>5</v>
      </c>
    </row>
    <row r="48" spans="1:17" s="1" customFormat="1" x14ac:dyDescent="0.15">
      <c r="A48" s="1" t="s">
        <v>329</v>
      </c>
      <c r="B48" s="113">
        <f>Tes.3°!B7</f>
        <v>0</v>
      </c>
      <c r="C48" s="113">
        <f>Tes.3°!C7</f>
        <v>0</v>
      </c>
      <c r="D48" s="113">
        <f>Tes.3°!D7</f>
        <v>0</v>
      </c>
      <c r="E48" s="113">
        <f>Tes.3°!E7</f>
        <v>0</v>
      </c>
      <c r="F48" s="113">
        <f>Tes.3°!F7</f>
        <v>0</v>
      </c>
      <c r="G48" s="113">
        <f>Tes.3°!G7</f>
        <v>0</v>
      </c>
      <c r="H48" s="113">
        <f>Tes.3°!H7</f>
        <v>0</v>
      </c>
      <c r="I48" s="113">
        <f>Tes.3°!I7</f>
        <v>0</v>
      </c>
      <c r="J48" s="113">
        <f>Tes.3°!J7</f>
        <v>0</v>
      </c>
      <c r="K48" s="113">
        <f>Tes.3°!K7</f>
        <v>0</v>
      </c>
      <c r="L48" s="113">
        <f>Tes.3°!L7</f>
        <v>0</v>
      </c>
      <c r="M48" s="113">
        <f>Tes.3°!M7</f>
        <v>0</v>
      </c>
      <c r="Q48" s="120">
        <v>6</v>
      </c>
    </row>
    <row r="49" spans="1:17" s="1" customFormat="1" x14ac:dyDescent="0.15">
      <c r="A49" s="1" t="s">
        <v>330</v>
      </c>
      <c r="B49" s="113">
        <f>Tes.1°!B41</f>
        <v>0</v>
      </c>
      <c r="C49" s="113">
        <f>Tes.1°!C41</f>
        <v>0</v>
      </c>
      <c r="D49" s="113">
        <f>Tes.1°!D41</f>
        <v>0</v>
      </c>
      <c r="E49" s="113">
        <f>Tes.1°!E41</f>
        <v>0</v>
      </c>
      <c r="F49" s="113">
        <f>Tes.1°!F41</f>
        <v>0</v>
      </c>
      <c r="G49" s="113">
        <f>Tes.1°!G41</f>
        <v>0</v>
      </c>
      <c r="H49" s="113">
        <f>Tes.1°!H41</f>
        <v>0</v>
      </c>
      <c r="I49" s="113">
        <f>Tes.1°!I41</f>
        <v>0</v>
      </c>
      <c r="J49" s="113">
        <f>Tes.1°!J41</f>
        <v>0</v>
      </c>
      <c r="K49" s="113">
        <f>Tes.1°!K41</f>
        <v>0</v>
      </c>
      <c r="L49" s="113">
        <f>Tes.1°!L41</f>
        <v>0</v>
      </c>
      <c r="M49" s="113">
        <f>Tes.1°!M41</f>
        <v>0</v>
      </c>
      <c r="Q49" s="120">
        <v>7</v>
      </c>
    </row>
    <row r="50" spans="1:17" s="1" customFormat="1" x14ac:dyDescent="0.15">
      <c r="A50" s="1" t="s">
        <v>331</v>
      </c>
      <c r="B50" s="113">
        <f t="shared" ref="B50:M50" si="29">B41</f>
        <v>0</v>
      </c>
      <c r="C50" s="113">
        <f t="shared" si="29"/>
        <v>0</v>
      </c>
      <c r="D50" s="113">
        <f t="shared" si="29"/>
        <v>0</v>
      </c>
      <c r="E50" s="113">
        <f t="shared" si="29"/>
        <v>0</v>
      </c>
      <c r="F50" s="113">
        <f t="shared" si="29"/>
        <v>0</v>
      </c>
      <c r="G50" s="113">
        <f t="shared" si="29"/>
        <v>0</v>
      </c>
      <c r="H50" s="113">
        <f t="shared" si="29"/>
        <v>0</v>
      </c>
      <c r="I50" s="113">
        <f t="shared" si="29"/>
        <v>0</v>
      </c>
      <c r="J50" s="113">
        <f t="shared" si="29"/>
        <v>0</v>
      </c>
      <c r="K50" s="113">
        <f t="shared" si="29"/>
        <v>0</v>
      </c>
      <c r="L50" s="113">
        <f t="shared" si="29"/>
        <v>0</v>
      </c>
      <c r="M50" s="113">
        <f t="shared" si="29"/>
        <v>0</v>
      </c>
      <c r="Q50" s="120">
        <v>8</v>
      </c>
    </row>
    <row r="51" spans="1:17" s="1" customFormat="1" x14ac:dyDescent="0.15">
      <c r="A51" s="1" t="s">
        <v>332</v>
      </c>
      <c r="B51" s="113">
        <f>Tes.3°!B41</f>
        <v>0</v>
      </c>
      <c r="C51" s="113">
        <f>Tes.3°!C41</f>
        <v>0</v>
      </c>
      <c r="D51" s="113">
        <f>Tes.3°!D41</f>
        <v>0</v>
      </c>
      <c r="E51" s="113">
        <f>Tes.3°!E41</f>
        <v>0</v>
      </c>
      <c r="F51" s="113">
        <f>Tes.3°!F41</f>
        <v>0</v>
      </c>
      <c r="G51" s="113">
        <f>Tes.3°!G41</f>
        <v>0</v>
      </c>
      <c r="H51" s="113">
        <f>Tes.3°!H41</f>
        <v>0</v>
      </c>
      <c r="I51" s="113">
        <f>Tes.3°!I41</f>
        <v>0</v>
      </c>
      <c r="J51" s="113">
        <f>Tes.3°!J41</f>
        <v>0</v>
      </c>
      <c r="K51" s="113">
        <f>Tes.3°!K41</f>
        <v>0</v>
      </c>
      <c r="L51" s="113">
        <f>Tes.3°!L41</f>
        <v>0</v>
      </c>
      <c r="M51" s="113">
        <f>Tes.3°!M41</f>
        <v>0</v>
      </c>
      <c r="Q51" s="120">
        <v>9</v>
      </c>
    </row>
    <row r="52" spans="1:17" s="1" customFormat="1" x14ac:dyDescent="0.15">
      <c r="A52" s="1" t="s">
        <v>324</v>
      </c>
      <c r="B52" s="157">
        <f>Tes.1°!B42</f>
        <v>0</v>
      </c>
      <c r="C52" s="157">
        <f>Tes.1°!C42</f>
        <v>0</v>
      </c>
      <c r="D52" s="157">
        <f>Tes.1°!D42</f>
        <v>0</v>
      </c>
      <c r="E52" s="157">
        <f>Tes.1°!E42</f>
        <v>0</v>
      </c>
      <c r="F52" s="157">
        <f>Tes.1°!F42</f>
        <v>0</v>
      </c>
      <c r="G52" s="157">
        <f>Tes.1°!G42</f>
        <v>0</v>
      </c>
      <c r="H52" s="157">
        <f>Tes.1°!H42</f>
        <v>0</v>
      </c>
      <c r="I52" s="157">
        <f>Tes.1°!I42</f>
        <v>0</v>
      </c>
      <c r="J52" s="157">
        <f>Tes.1°!J42</f>
        <v>0</v>
      </c>
      <c r="K52" s="157">
        <f>Tes.1°!K42</f>
        <v>0</v>
      </c>
      <c r="L52" s="157">
        <f>Tes.1°!L42</f>
        <v>0</v>
      </c>
      <c r="M52" s="157">
        <f>Tes.1°!M42</f>
        <v>0</v>
      </c>
      <c r="Q52" s="120">
        <v>10</v>
      </c>
    </row>
    <row r="53" spans="1:17" s="1" customFormat="1" x14ac:dyDescent="0.15">
      <c r="A53" s="1" t="s">
        <v>325</v>
      </c>
      <c r="B53" s="157">
        <f t="shared" ref="B53:M53" si="30">B42</f>
        <v>0</v>
      </c>
      <c r="C53" s="157">
        <f t="shared" si="30"/>
        <v>0</v>
      </c>
      <c r="D53" s="157">
        <f t="shared" si="30"/>
        <v>0</v>
      </c>
      <c r="E53" s="157">
        <f t="shared" si="30"/>
        <v>0</v>
      </c>
      <c r="F53" s="157">
        <f t="shared" si="30"/>
        <v>0</v>
      </c>
      <c r="G53" s="157">
        <f t="shared" si="30"/>
        <v>0</v>
      </c>
      <c r="H53" s="157">
        <f t="shared" si="30"/>
        <v>0</v>
      </c>
      <c r="I53" s="157">
        <f t="shared" si="30"/>
        <v>0</v>
      </c>
      <c r="J53" s="157">
        <f t="shared" si="30"/>
        <v>0</v>
      </c>
      <c r="K53" s="157">
        <f t="shared" si="30"/>
        <v>0</v>
      </c>
      <c r="L53" s="157">
        <f t="shared" si="30"/>
        <v>0</v>
      </c>
      <c r="M53" s="157">
        <f t="shared" si="30"/>
        <v>0</v>
      </c>
      <c r="Q53" s="120">
        <v>11</v>
      </c>
    </row>
    <row r="54" spans="1:17" s="1" customFormat="1" x14ac:dyDescent="0.15">
      <c r="A54" s="1" t="s">
        <v>326</v>
      </c>
      <c r="B54" s="157">
        <f>Tes.3°!B42</f>
        <v>0</v>
      </c>
      <c r="C54" s="157">
        <f>Tes.3°!C42</f>
        <v>0</v>
      </c>
      <c r="D54" s="157">
        <f>Tes.3°!D42</f>
        <v>0</v>
      </c>
      <c r="E54" s="157">
        <f>Tes.3°!E42</f>
        <v>0</v>
      </c>
      <c r="F54" s="157">
        <f>Tes.3°!F42</f>
        <v>0</v>
      </c>
      <c r="G54" s="157">
        <f>Tes.3°!G42</f>
        <v>0</v>
      </c>
      <c r="H54" s="157">
        <f>Tes.3°!H42</f>
        <v>0</v>
      </c>
      <c r="I54" s="157">
        <f>Tes.3°!I42</f>
        <v>0</v>
      </c>
      <c r="J54" s="157">
        <f>Tes.3°!J42</f>
        <v>0</v>
      </c>
      <c r="K54" s="157">
        <f>Tes.3°!K42</f>
        <v>0</v>
      </c>
      <c r="L54" s="157">
        <f>Tes.3°!L42</f>
        <v>0</v>
      </c>
      <c r="M54" s="157">
        <f>Tes.3°!M42</f>
        <v>0</v>
      </c>
      <c r="Q54" s="120">
        <v>12</v>
      </c>
    </row>
    <row r="55" spans="1:17" x14ac:dyDescent="0.15">
      <c r="Q55" s="120">
        <v>13</v>
      </c>
    </row>
    <row r="56" spans="1:17" x14ac:dyDescent="0.15">
      <c r="Q56" s="120">
        <v>14</v>
      </c>
    </row>
    <row r="57" spans="1:17" s="1" customFormat="1" x14ac:dyDescent="0.15">
      <c r="B57" s="113" t="s">
        <v>312</v>
      </c>
      <c r="C57" s="113" t="s">
        <v>313</v>
      </c>
      <c r="D57" s="113" t="s">
        <v>314</v>
      </c>
      <c r="E57" s="113" t="s">
        <v>315</v>
      </c>
      <c r="F57" s="113" t="s">
        <v>316</v>
      </c>
      <c r="G57" s="113" t="s">
        <v>317</v>
      </c>
      <c r="H57" s="113" t="s">
        <v>318</v>
      </c>
      <c r="I57" s="113" t="s">
        <v>319</v>
      </c>
      <c r="J57" s="113" t="s">
        <v>320</v>
      </c>
      <c r="K57" s="113" t="s">
        <v>321</v>
      </c>
      <c r="L57" s="113" t="s">
        <v>322</v>
      </c>
      <c r="M57" s="113" t="s">
        <v>323</v>
      </c>
      <c r="Q57" s="120">
        <v>1</v>
      </c>
    </row>
    <row r="58" spans="1:17" s="1" customFormat="1" x14ac:dyDescent="0.15">
      <c r="A58" s="1" t="s">
        <v>327</v>
      </c>
      <c r="B58" s="113">
        <f>Tes.1°!B7</f>
        <v>0</v>
      </c>
      <c r="C58" s="113">
        <f>Tes.1°!C7</f>
        <v>0</v>
      </c>
      <c r="D58" s="113">
        <f>Tes.1°!D7</f>
        <v>0</v>
      </c>
      <c r="E58" s="113">
        <f>Tes.1°!E7</f>
        <v>0</v>
      </c>
      <c r="F58" s="113">
        <f>Tes.1°!F7</f>
        <v>0</v>
      </c>
      <c r="G58" s="113">
        <f>Tes.1°!G7</f>
        <v>0</v>
      </c>
      <c r="H58" s="113">
        <f>Tes.1°!H7</f>
        <v>0</v>
      </c>
      <c r="I58" s="113">
        <f>Tes.1°!I7</f>
        <v>0</v>
      </c>
      <c r="J58" s="113">
        <f>Tes.1°!J7</f>
        <v>0</v>
      </c>
      <c r="K58" s="113">
        <f>Tes.1°!K7</f>
        <v>0</v>
      </c>
      <c r="L58" s="113">
        <f>Tes.1°!L7</f>
        <v>0</v>
      </c>
      <c r="M58" s="113">
        <f>Tes.1°!M7</f>
        <v>0</v>
      </c>
      <c r="Q58" s="120">
        <v>2</v>
      </c>
    </row>
    <row r="59" spans="1:17" s="1" customFormat="1" x14ac:dyDescent="0.15">
      <c r="A59" s="1" t="s">
        <v>330</v>
      </c>
      <c r="B59" s="113">
        <f>Tes.1°!B41</f>
        <v>0</v>
      </c>
      <c r="C59" s="113">
        <f>Tes.1°!C41</f>
        <v>0</v>
      </c>
      <c r="D59" s="113">
        <f>Tes.1°!D41</f>
        <v>0</v>
      </c>
      <c r="E59" s="113">
        <f>Tes.1°!E41</f>
        <v>0</v>
      </c>
      <c r="F59" s="113">
        <f>Tes.1°!F41</f>
        <v>0</v>
      </c>
      <c r="G59" s="113">
        <f>Tes.1°!G41</f>
        <v>0</v>
      </c>
      <c r="H59" s="113">
        <f>Tes.1°!H41</f>
        <v>0</v>
      </c>
      <c r="I59" s="113">
        <f>Tes.1°!I41</f>
        <v>0</v>
      </c>
      <c r="J59" s="113">
        <f>Tes.1°!J41</f>
        <v>0</v>
      </c>
      <c r="K59" s="113">
        <f>Tes.1°!K41</f>
        <v>0</v>
      </c>
      <c r="L59" s="113">
        <f>Tes.1°!L41</f>
        <v>0</v>
      </c>
      <c r="M59" s="113">
        <f>Tes.1°!M41</f>
        <v>0</v>
      </c>
      <c r="Q59" s="120">
        <v>3</v>
      </c>
    </row>
    <row r="60" spans="1:17" s="1" customFormat="1" x14ac:dyDescent="0.15">
      <c r="A60" s="1" t="s">
        <v>324</v>
      </c>
      <c r="B60" s="157">
        <f>Tes.1°!B42</f>
        <v>0</v>
      </c>
      <c r="C60" s="157">
        <f>Tes.1°!C42</f>
        <v>0</v>
      </c>
      <c r="D60" s="157">
        <f>Tes.1°!D42</f>
        <v>0</v>
      </c>
      <c r="E60" s="157">
        <f>Tes.1°!E42</f>
        <v>0</v>
      </c>
      <c r="F60" s="157">
        <f>Tes.1°!F42</f>
        <v>0</v>
      </c>
      <c r="G60" s="157">
        <f>Tes.1°!G42</f>
        <v>0</v>
      </c>
      <c r="H60" s="157">
        <f>Tes.1°!H42</f>
        <v>0</v>
      </c>
      <c r="I60" s="157">
        <f>Tes.1°!I42</f>
        <v>0</v>
      </c>
      <c r="J60" s="157">
        <f>Tes.1°!J42</f>
        <v>0</v>
      </c>
      <c r="K60" s="157">
        <f>Tes.1°!K42</f>
        <v>0</v>
      </c>
      <c r="L60" s="157">
        <f>Tes.1°!L42</f>
        <v>0</v>
      </c>
      <c r="M60" s="157">
        <f>Tes.1°!M42</f>
        <v>0</v>
      </c>
      <c r="Q60" s="120">
        <v>4</v>
      </c>
    </row>
    <row r="61" spans="1:17" s="1" customFormat="1" x14ac:dyDescent="0.15">
      <c r="A61" s="1" t="s">
        <v>328</v>
      </c>
      <c r="B61" s="113">
        <f t="shared" ref="B61:M61" si="31">B7</f>
        <v>0</v>
      </c>
      <c r="C61" s="113">
        <f t="shared" si="31"/>
        <v>0</v>
      </c>
      <c r="D61" s="113">
        <f t="shared" si="31"/>
        <v>0</v>
      </c>
      <c r="E61" s="113">
        <f t="shared" si="31"/>
        <v>0</v>
      </c>
      <c r="F61" s="113">
        <f t="shared" si="31"/>
        <v>0</v>
      </c>
      <c r="G61" s="113">
        <f t="shared" si="31"/>
        <v>0</v>
      </c>
      <c r="H61" s="113">
        <f t="shared" si="31"/>
        <v>0</v>
      </c>
      <c r="I61" s="113">
        <f t="shared" si="31"/>
        <v>0</v>
      </c>
      <c r="J61" s="113">
        <f t="shared" si="31"/>
        <v>0</v>
      </c>
      <c r="K61" s="113">
        <f t="shared" si="31"/>
        <v>0</v>
      </c>
      <c r="L61" s="113">
        <f t="shared" si="31"/>
        <v>0</v>
      </c>
      <c r="M61" s="113">
        <f t="shared" si="31"/>
        <v>0</v>
      </c>
      <c r="Q61" s="120">
        <v>5</v>
      </c>
    </row>
    <row r="62" spans="1:17" s="1" customFormat="1" x14ac:dyDescent="0.15">
      <c r="A62" s="1" t="s">
        <v>331</v>
      </c>
      <c r="B62" s="113">
        <f t="shared" ref="B62:M62" si="32">B41</f>
        <v>0</v>
      </c>
      <c r="C62" s="113">
        <f t="shared" si="32"/>
        <v>0</v>
      </c>
      <c r="D62" s="113">
        <f t="shared" si="32"/>
        <v>0</v>
      </c>
      <c r="E62" s="113">
        <f t="shared" si="32"/>
        <v>0</v>
      </c>
      <c r="F62" s="113">
        <f t="shared" si="32"/>
        <v>0</v>
      </c>
      <c r="G62" s="113">
        <f t="shared" si="32"/>
        <v>0</v>
      </c>
      <c r="H62" s="113">
        <f t="shared" si="32"/>
        <v>0</v>
      </c>
      <c r="I62" s="113">
        <f t="shared" si="32"/>
        <v>0</v>
      </c>
      <c r="J62" s="113">
        <f t="shared" si="32"/>
        <v>0</v>
      </c>
      <c r="K62" s="113">
        <f t="shared" si="32"/>
        <v>0</v>
      </c>
      <c r="L62" s="113">
        <f t="shared" si="32"/>
        <v>0</v>
      </c>
      <c r="M62" s="113">
        <f t="shared" si="32"/>
        <v>0</v>
      </c>
      <c r="Q62" s="120">
        <v>6</v>
      </c>
    </row>
    <row r="63" spans="1:17" s="1" customFormat="1" x14ac:dyDescent="0.15">
      <c r="A63" s="1" t="s">
        <v>325</v>
      </c>
      <c r="B63" s="157">
        <f t="shared" ref="B63:M63" si="33">B42</f>
        <v>0</v>
      </c>
      <c r="C63" s="157">
        <f t="shared" si="33"/>
        <v>0</v>
      </c>
      <c r="D63" s="157">
        <f t="shared" si="33"/>
        <v>0</v>
      </c>
      <c r="E63" s="157">
        <f t="shared" si="33"/>
        <v>0</v>
      </c>
      <c r="F63" s="157">
        <f t="shared" si="33"/>
        <v>0</v>
      </c>
      <c r="G63" s="157">
        <f t="shared" si="33"/>
        <v>0</v>
      </c>
      <c r="H63" s="157">
        <f t="shared" si="33"/>
        <v>0</v>
      </c>
      <c r="I63" s="157">
        <f t="shared" si="33"/>
        <v>0</v>
      </c>
      <c r="J63" s="157">
        <f t="shared" si="33"/>
        <v>0</v>
      </c>
      <c r="K63" s="157">
        <f t="shared" si="33"/>
        <v>0</v>
      </c>
      <c r="L63" s="157">
        <f t="shared" si="33"/>
        <v>0</v>
      </c>
      <c r="M63" s="157">
        <f t="shared" si="33"/>
        <v>0</v>
      </c>
      <c r="Q63" s="120">
        <v>7</v>
      </c>
    </row>
    <row r="64" spans="1:17" s="1" customFormat="1" x14ac:dyDescent="0.15">
      <c r="A64" s="1" t="s">
        <v>329</v>
      </c>
      <c r="B64" s="157">
        <f>Tes.3°!B7</f>
        <v>0</v>
      </c>
      <c r="C64" s="157">
        <f>Tes.3°!C7</f>
        <v>0</v>
      </c>
      <c r="D64" s="157">
        <f>Tes.3°!D7</f>
        <v>0</v>
      </c>
      <c r="E64" s="157">
        <f>Tes.3°!E7</f>
        <v>0</v>
      </c>
      <c r="F64" s="157">
        <f>Tes.3°!F7</f>
        <v>0</v>
      </c>
      <c r="G64" s="157">
        <f>Tes.3°!G7</f>
        <v>0</v>
      </c>
      <c r="H64" s="157">
        <f>Tes.3°!H7</f>
        <v>0</v>
      </c>
      <c r="I64" s="157">
        <f>Tes.3°!I7</f>
        <v>0</v>
      </c>
      <c r="J64" s="157">
        <f>Tes.3°!J7</f>
        <v>0</v>
      </c>
      <c r="K64" s="157">
        <f>Tes.3°!K7</f>
        <v>0</v>
      </c>
      <c r="L64" s="157">
        <f>Tes.3°!L7</f>
        <v>0</v>
      </c>
      <c r="M64" s="157">
        <f>Tes.3°!M7</f>
        <v>0</v>
      </c>
      <c r="Q64" s="120">
        <v>8</v>
      </c>
    </row>
    <row r="65" spans="1:17" s="1" customFormat="1" x14ac:dyDescent="0.15">
      <c r="A65" s="1" t="s">
        <v>332</v>
      </c>
      <c r="B65" s="157">
        <f>Tes.3°!B41</f>
        <v>0</v>
      </c>
      <c r="C65" s="157">
        <f>Tes.3°!C41</f>
        <v>0</v>
      </c>
      <c r="D65" s="157">
        <f>Tes.3°!D41</f>
        <v>0</v>
      </c>
      <c r="E65" s="157">
        <f>Tes.3°!E41</f>
        <v>0</v>
      </c>
      <c r="F65" s="157">
        <f>Tes.3°!F41</f>
        <v>0</v>
      </c>
      <c r="G65" s="157">
        <f>Tes.3°!G41</f>
        <v>0</v>
      </c>
      <c r="H65" s="157">
        <f>Tes.3°!H41</f>
        <v>0</v>
      </c>
      <c r="I65" s="157">
        <f>Tes.3°!I41</f>
        <v>0</v>
      </c>
      <c r="J65" s="157">
        <f>Tes.3°!J41</f>
        <v>0</v>
      </c>
      <c r="K65" s="157">
        <f>Tes.3°!K41</f>
        <v>0</v>
      </c>
      <c r="L65" s="157">
        <f>Tes.3°!L41</f>
        <v>0</v>
      </c>
      <c r="M65" s="157">
        <f>Tes.3°!M41</f>
        <v>0</v>
      </c>
      <c r="Q65" s="120">
        <v>9</v>
      </c>
    </row>
    <row r="66" spans="1:17" s="1" customFormat="1" x14ac:dyDescent="0.15">
      <c r="A66" s="1" t="s">
        <v>326</v>
      </c>
      <c r="B66" s="157">
        <f>Tes.3°!B42</f>
        <v>0</v>
      </c>
      <c r="C66" s="157">
        <f>Tes.3°!C42</f>
        <v>0</v>
      </c>
      <c r="D66" s="157">
        <f>Tes.3°!D42</f>
        <v>0</v>
      </c>
      <c r="E66" s="157">
        <f>Tes.3°!E42</f>
        <v>0</v>
      </c>
      <c r="F66" s="157">
        <f>Tes.3°!F42</f>
        <v>0</v>
      </c>
      <c r="G66" s="157">
        <f>Tes.3°!G42</f>
        <v>0</v>
      </c>
      <c r="H66" s="157">
        <f>Tes.3°!H42</f>
        <v>0</v>
      </c>
      <c r="I66" s="157">
        <f>Tes.3°!I42</f>
        <v>0</v>
      </c>
      <c r="J66" s="157">
        <f>Tes.3°!J42</f>
        <v>0</v>
      </c>
      <c r="K66" s="157">
        <f>Tes.3°!K42</f>
        <v>0</v>
      </c>
      <c r="L66" s="157">
        <f>Tes.3°!L42</f>
        <v>0</v>
      </c>
      <c r="M66" s="157">
        <f>Tes.3°!M42</f>
        <v>0</v>
      </c>
      <c r="Q66" s="120">
        <v>10</v>
      </c>
    </row>
    <row r="67" spans="1:17" s="1" customFormat="1" x14ac:dyDescent="0.15">
      <c r="Q67" s="120">
        <v>11</v>
      </c>
    </row>
    <row r="68" spans="1:17" s="1" customFormat="1" x14ac:dyDescent="0.15">
      <c r="Q68" s="120">
        <v>12</v>
      </c>
    </row>
    <row r="69" spans="1:17" s="1" customFormat="1" x14ac:dyDescent="0.15">
      <c r="Q69" s="120">
        <v>13</v>
      </c>
    </row>
    <row r="70" spans="1:17" s="1" customFormat="1" x14ac:dyDescent="0.15">
      <c r="Q70" s="120">
        <v>14</v>
      </c>
    </row>
    <row r="71" spans="1:17" s="1" customFormat="1" x14ac:dyDescent="0.15">
      <c r="Q71" s="120">
        <v>1</v>
      </c>
    </row>
    <row r="72" spans="1:17" s="1" customFormat="1" x14ac:dyDescent="0.15">
      <c r="Q72" s="120">
        <v>2</v>
      </c>
    </row>
    <row r="73" spans="1:17" s="1" customFormat="1" x14ac:dyDescent="0.15">
      <c r="Q73" s="120">
        <v>3</v>
      </c>
    </row>
    <row r="74" spans="1:17" s="1" customFormat="1" x14ac:dyDescent="0.15">
      <c r="Q74" s="120">
        <v>4</v>
      </c>
    </row>
    <row r="75" spans="1:17" s="1" customFormat="1" x14ac:dyDescent="0.15">
      <c r="Q75" s="120">
        <v>5</v>
      </c>
    </row>
    <row r="76" spans="1:17" x14ac:dyDescent="0.15">
      <c r="Q76" s="120">
        <v>6</v>
      </c>
    </row>
    <row r="77" spans="1:17" x14ac:dyDescent="0.15">
      <c r="Q77" s="120">
        <v>7</v>
      </c>
    </row>
    <row r="78" spans="1:17" x14ac:dyDescent="0.15">
      <c r="Q78" s="120">
        <v>8</v>
      </c>
    </row>
    <row r="79" spans="1:17" x14ac:dyDescent="0.15">
      <c r="Q79" s="120">
        <v>9</v>
      </c>
    </row>
    <row r="80" spans="1:17" x14ac:dyDescent="0.15">
      <c r="Q80" s="120">
        <v>10</v>
      </c>
    </row>
    <row r="81" spans="1:17" x14ac:dyDescent="0.15">
      <c r="Q81" s="120">
        <v>11</v>
      </c>
    </row>
    <row r="82" spans="1:17" x14ac:dyDescent="0.15">
      <c r="Q82" s="120">
        <v>12</v>
      </c>
    </row>
    <row r="83" spans="1:17" x14ac:dyDescent="0.15">
      <c r="Q83" s="120">
        <v>13</v>
      </c>
    </row>
    <row r="84" spans="1:17" x14ac:dyDescent="0.15">
      <c r="Q84" s="120">
        <v>14</v>
      </c>
    </row>
    <row r="85" spans="1:17" ht="16" x14ac:dyDescent="0.2">
      <c r="A85" s="721" t="str">
        <f>MID([1]Persona!$D$12,1,60)</f>
        <v/>
      </c>
      <c r="O85" s="718" t="s">
        <v>504</v>
      </c>
      <c r="Q85" s="1"/>
    </row>
    <row r="86" spans="1:17" x14ac:dyDescent="0.15">
      <c r="Q86" s="1"/>
    </row>
    <row r="87" spans="1:17" x14ac:dyDescent="0.15">
      <c r="Q87" s="1"/>
    </row>
    <row r="88" spans="1:17" x14ac:dyDescent="0.15">
      <c r="Q88" s="1"/>
    </row>
    <row r="89" spans="1:17" x14ac:dyDescent="0.15">
      <c r="Q89" s="1"/>
    </row>
    <row r="90" spans="1:17" x14ac:dyDescent="0.15">
      <c r="Q90" s="1"/>
    </row>
    <row r="91" spans="1:17" x14ac:dyDescent="0.15">
      <c r="Q91" s="1"/>
    </row>
    <row r="92" spans="1:17" x14ac:dyDescent="0.15">
      <c r="Q92" s="1"/>
    </row>
    <row r="93" spans="1:17" x14ac:dyDescent="0.15">
      <c r="Q93" s="1"/>
    </row>
  </sheetData>
  <sheetProtection password="DB4F" sheet="1" objects="1" scenarios="1" selectLockedCells="1"/>
  <phoneticPr fontId="15" type="noConversion"/>
  <pageMargins left="0.37" right="0.46" top="0.35" bottom="0.42" header="0.17" footer="0.28000000000000003"/>
  <pageSetup paperSize="9" orientation="landscape" horizontalDpi="4294967293"/>
  <headerFooter alignWithMargins="0">
    <oddHeader>&amp;L&amp;A&amp;R&amp;F</oddHeader>
    <oddFooter>&amp;CPagina &amp;P+12&amp;R&amp;D</oddFooter>
  </headerFooter>
  <ignoredErrors>
    <ignoredError sqref="G9:G40" formula="1"/>
    <ignoredError sqref="O9:O40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5"/>
  <sheetViews>
    <sheetView workbookViewId="0">
      <selection activeCell="B6" sqref="B6"/>
    </sheetView>
  </sheetViews>
  <sheetFormatPr baseColWidth="10" defaultColWidth="8.83203125" defaultRowHeight="13" x14ac:dyDescent="0.15"/>
  <cols>
    <col min="1" max="1" width="29.5" customWidth="1"/>
    <col min="2" max="14" width="8.1640625" customWidth="1"/>
    <col min="15" max="15" width="5" customWidth="1"/>
  </cols>
  <sheetData>
    <row r="1" spans="1:16" ht="20" x14ac:dyDescent="0.2">
      <c r="A1" s="76" t="s">
        <v>273</v>
      </c>
      <c r="B1" s="76" t="s">
        <v>67</v>
      </c>
      <c r="N1" s="714" t="str">
        <f>MID([1]Persona!$D$12,1,60)</f>
        <v/>
      </c>
    </row>
    <row r="2" spans="1:16" ht="14" thickBot="1" x14ac:dyDescent="0.2">
      <c r="A2" s="51"/>
      <c r="B2" s="43" t="s">
        <v>274</v>
      </c>
      <c r="C2" s="43" t="s">
        <v>275</v>
      </c>
      <c r="D2" s="43" t="s">
        <v>276</v>
      </c>
      <c r="E2" s="43" t="s">
        <v>277</v>
      </c>
      <c r="F2" s="43" t="s">
        <v>278</v>
      </c>
      <c r="G2" s="43" t="s">
        <v>279</v>
      </c>
      <c r="H2" s="43" t="s">
        <v>280</v>
      </c>
      <c r="I2" s="43" t="s">
        <v>281</v>
      </c>
      <c r="J2" s="43" t="s">
        <v>282</v>
      </c>
      <c r="K2" s="43" t="s">
        <v>283</v>
      </c>
      <c r="L2" s="43" t="s">
        <v>284</v>
      </c>
      <c r="M2" s="43" t="s">
        <v>285</v>
      </c>
      <c r="N2" s="44" t="s">
        <v>236</v>
      </c>
      <c r="O2" s="45"/>
    </row>
    <row r="3" spans="1:16" x14ac:dyDescent="0.15">
      <c r="A3" s="1" t="s">
        <v>286</v>
      </c>
      <c r="B3" s="130">
        <f t="shared" ref="B3:M3" si="0">$N$3/12</f>
        <v>0</v>
      </c>
      <c r="C3" s="130">
        <f t="shared" si="0"/>
        <v>0</v>
      </c>
      <c r="D3" s="130">
        <f t="shared" si="0"/>
        <v>0</v>
      </c>
      <c r="E3" s="130">
        <f t="shared" si="0"/>
        <v>0</v>
      </c>
      <c r="F3" s="130">
        <f t="shared" si="0"/>
        <v>0</v>
      </c>
      <c r="G3" s="130">
        <f t="shared" si="0"/>
        <v>0</v>
      </c>
      <c r="H3" s="130">
        <f t="shared" si="0"/>
        <v>0</v>
      </c>
      <c r="I3" s="130">
        <f t="shared" si="0"/>
        <v>0</v>
      </c>
      <c r="J3" s="130">
        <f t="shared" si="0"/>
        <v>0</v>
      </c>
      <c r="K3" s="130">
        <f t="shared" si="0"/>
        <v>0</v>
      </c>
      <c r="L3" s="130">
        <f t="shared" si="0"/>
        <v>0</v>
      </c>
      <c r="M3" s="130">
        <f t="shared" si="0"/>
        <v>0</v>
      </c>
      <c r="N3" s="48">
        <f>Prezzi!J32</f>
        <v>0</v>
      </c>
      <c r="O3" s="1"/>
    </row>
    <row r="4" spans="1:16" x14ac:dyDescent="0.15">
      <c r="A4" s="1" t="s">
        <v>287</v>
      </c>
      <c r="B4" s="64">
        <f>IF(Circolante!$C$28="",0,($N3*Circolante!$C$28)/12)</f>
        <v>0</v>
      </c>
      <c r="C4" s="64">
        <f>IF(Circolante!$C$28="",0,($N3*Circolante!$C$28)/12)</f>
        <v>0</v>
      </c>
      <c r="D4" s="64">
        <f>IF(Circolante!$C$28="",0,($N3*Circolante!$C$28)/12)</f>
        <v>0</v>
      </c>
      <c r="E4" s="64">
        <f>IF(Circolante!$C$28="",0,($N3*Circolante!$C$28)/12)</f>
        <v>0</v>
      </c>
      <c r="F4" s="64">
        <f>IF(Circolante!$C$28="",0,($N3*Circolante!$C$28)/12)</f>
        <v>0</v>
      </c>
      <c r="G4" s="64">
        <f>IF(Circolante!$C$28="",0,($N3*Circolante!$C$28)/12)</f>
        <v>0</v>
      </c>
      <c r="H4" s="64">
        <f>IF(Circolante!$C$28="",0,($N3*Circolante!$C$28)/12)</f>
        <v>0</v>
      </c>
      <c r="I4" s="64">
        <f>IF(Circolante!$C$28="",0,($N3*Circolante!$C$28)/12)</f>
        <v>0</v>
      </c>
      <c r="J4" s="64">
        <f>IF(Circolante!$C$28="",0,($N3*Circolante!$C$28)/12)</f>
        <v>0</v>
      </c>
      <c r="K4" s="64">
        <f>IF(Circolante!$C$28="",0,($N3*Circolante!$C$28)/12)</f>
        <v>0</v>
      </c>
      <c r="L4" s="64">
        <f>IF(Circolante!$C$28="",0,($N3*Circolante!$C$28)/12)</f>
        <v>0</v>
      </c>
      <c r="M4" s="64">
        <f>IF(Circolante!$C$28="",0,($N3*Circolante!$C$28)/12)</f>
        <v>0</v>
      </c>
      <c r="N4" s="48">
        <f>SUM(B4:M4)</f>
        <v>0</v>
      </c>
      <c r="O4" s="1"/>
    </row>
    <row r="5" spans="1:16" x14ac:dyDescent="0.15">
      <c r="A5" s="1" t="s">
        <v>36</v>
      </c>
      <c r="B5" s="64">
        <f>IF(Circolante!$D$30=0,0,Circolante!G11)</f>
        <v>0</v>
      </c>
      <c r="C5" s="64">
        <f>IF(Circolante!$D$30=0,0,Circolante!H11)</f>
        <v>0</v>
      </c>
      <c r="D5" s="64">
        <f>IF(Circolante!$D$30=0,0,Circolante!I11)</f>
        <v>0</v>
      </c>
      <c r="E5" s="64">
        <f>IF(Circolante!$D$30=0,0,Circolante!J11)</f>
        <v>0</v>
      </c>
      <c r="F5" s="64">
        <f>IF(Circolante!$D$30=0,0,Circolante!K11)</f>
        <v>0</v>
      </c>
      <c r="G5" s="64">
        <f>IF(Circolante!$D$30=0,0,Circolante!L11)</f>
        <v>0</v>
      </c>
      <c r="H5" s="64">
        <f>IF(Circolante!$D$30=0,0,Circolante!M11)</f>
        <v>0</v>
      </c>
      <c r="I5" s="64">
        <f>IF(Circolante!$D$30=0,0,Circolante!N11)</f>
        <v>0</v>
      </c>
      <c r="J5" s="64">
        <f>IF(Circolante!$D$30=0,0,Circolante!O11)</f>
        <v>0</v>
      </c>
      <c r="K5" s="64">
        <f>IF(Circolante!$D$30=0,0,Circolante!P11)</f>
        <v>0</v>
      </c>
      <c r="L5" s="64">
        <f>IF(Circolante!$D$30=0,0,Circolante!Q11)</f>
        <v>0</v>
      </c>
      <c r="M5" s="64">
        <f>IF(Circolante!$D$30=0,0,Circolante!R11)</f>
        <v>0</v>
      </c>
      <c r="N5" s="48">
        <f>SUM(B5:M5)</f>
        <v>0</v>
      </c>
      <c r="O5" s="1"/>
    </row>
    <row r="6" spans="1:16" x14ac:dyDescent="0.15">
      <c r="A6" s="1" t="s">
        <v>90</v>
      </c>
      <c r="B6" s="671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48">
        <f>SUM(B6:M6)</f>
        <v>0</v>
      </c>
      <c r="O6" s="1"/>
    </row>
    <row r="7" spans="1:16" x14ac:dyDescent="0.15">
      <c r="A7" s="50" t="s">
        <v>288</v>
      </c>
      <c r="B7" s="52">
        <f>SUM(B4:B6)</f>
        <v>0</v>
      </c>
      <c r="C7" s="52">
        <f t="shared" ref="C7:M7" si="1">SUM(C4:C6)</f>
        <v>0</v>
      </c>
      <c r="D7" s="52">
        <f t="shared" si="1"/>
        <v>0</v>
      </c>
      <c r="E7" s="52">
        <f t="shared" si="1"/>
        <v>0</v>
      </c>
      <c r="F7" s="52">
        <f t="shared" si="1"/>
        <v>0</v>
      </c>
      <c r="G7" s="52">
        <f t="shared" si="1"/>
        <v>0</v>
      </c>
      <c r="H7" s="52">
        <f t="shared" si="1"/>
        <v>0</v>
      </c>
      <c r="I7" s="52">
        <f t="shared" si="1"/>
        <v>0</v>
      </c>
      <c r="J7" s="52">
        <f t="shared" si="1"/>
        <v>0</v>
      </c>
      <c r="K7" s="52">
        <f t="shared" si="1"/>
        <v>0</v>
      </c>
      <c r="L7" s="52">
        <f t="shared" si="1"/>
        <v>0</v>
      </c>
      <c r="M7" s="52">
        <f t="shared" si="1"/>
        <v>0</v>
      </c>
      <c r="N7" s="53">
        <f>SUM(B7:M7)</f>
        <v>0</v>
      </c>
      <c r="O7" s="1"/>
    </row>
    <row r="8" spans="1:16" ht="14" thickBot="1" x14ac:dyDescent="0.2">
      <c r="A8" s="1" t="s">
        <v>289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  <c r="O8" s="75" t="s">
        <v>290</v>
      </c>
    </row>
    <row r="9" spans="1:16" x14ac:dyDescent="0.15">
      <c r="A9" s="1" t="s">
        <v>514</v>
      </c>
      <c r="B9" s="64">
        <f t="shared" ref="B9:B24" si="2">IF($O9="12",$N9/12,IF($O9="I",$N9,0))</f>
        <v>0</v>
      </c>
      <c r="C9" s="64">
        <f t="shared" ref="C9:C24" si="3">IF(OR($O9="12",$O9="6"),$N9/O9,0)</f>
        <v>0</v>
      </c>
      <c r="D9" s="64">
        <f t="shared" ref="D9:D24" si="4">IF(OR($O9="12",$O9="4"),$N9/$O9,0)</f>
        <v>0</v>
      </c>
      <c r="E9" s="64">
        <f t="shared" ref="E9:E24" si="5">IF(OR($O9="12",$O9="6",$O9="3"),$N9/$O9,0)</f>
        <v>0</v>
      </c>
      <c r="F9" s="64">
        <f t="shared" ref="F9:F24" si="6">IF($O9="12",$N9/12,0)</f>
        <v>0</v>
      </c>
      <c r="G9" s="64">
        <f t="shared" ref="G9:G24" si="7">IF(OR($O9="12",$O9="6",$O9="4",$O9="2"),$N9/$O9,0)</f>
        <v>0</v>
      </c>
      <c r="H9" s="64">
        <f t="shared" ref="H9:H24" si="8">IF($O9="12",$N9/12,0)</f>
        <v>0</v>
      </c>
      <c r="I9" s="64">
        <f t="shared" ref="I9:I24" si="9">IF(OR($O9="12",$O9="6",$O9="3"),$N9/$O9,0)</f>
        <v>0</v>
      </c>
      <c r="J9" s="64">
        <f t="shared" ref="J9:J24" si="10">IF(OR($O9="12",$O9="4"),$N9/$O9,0)</f>
        <v>0</v>
      </c>
      <c r="K9" s="64">
        <f t="shared" ref="K9:K24" si="11">IF(OR($O9="12",$O9="6"),$N9/$O9,0)</f>
        <v>0</v>
      </c>
      <c r="L9" s="64">
        <f t="shared" ref="L9:L24" si="12">IF($O9="12",$N9/12,0)</f>
        <v>0</v>
      </c>
      <c r="M9" s="64">
        <f t="shared" ref="M9:M24" si="13">IF(OR($O9="12",$O9="6",$O9="4",$O9="3",$O9="2"),$N9/$O9,IF($O9="F",$N9,0))</f>
        <v>0</v>
      </c>
      <c r="N9" s="48">
        <f>Costi!G8</f>
        <v>0</v>
      </c>
      <c r="O9" s="672" t="s">
        <v>291</v>
      </c>
      <c r="P9" s="47" t="s">
        <v>292</v>
      </c>
    </row>
    <row r="10" spans="1:16" x14ac:dyDescent="0.15">
      <c r="A10" s="46" t="s">
        <v>293</v>
      </c>
      <c r="B10" s="65">
        <f t="shared" si="2"/>
        <v>0</v>
      </c>
      <c r="C10" s="65">
        <f t="shared" si="3"/>
        <v>0</v>
      </c>
      <c r="D10" s="65">
        <f t="shared" si="4"/>
        <v>0</v>
      </c>
      <c r="E10" s="65">
        <f t="shared" si="5"/>
        <v>0</v>
      </c>
      <c r="F10" s="65">
        <f t="shared" si="6"/>
        <v>0</v>
      </c>
      <c r="G10" s="65">
        <f t="shared" si="7"/>
        <v>0</v>
      </c>
      <c r="H10" s="65">
        <f t="shared" si="8"/>
        <v>0</v>
      </c>
      <c r="I10" s="65">
        <f t="shared" si="9"/>
        <v>0</v>
      </c>
      <c r="J10" s="65">
        <f t="shared" si="10"/>
        <v>0</v>
      </c>
      <c r="K10" s="65">
        <f t="shared" si="11"/>
        <v>0</v>
      </c>
      <c r="L10" s="65">
        <f t="shared" si="12"/>
        <v>0</v>
      </c>
      <c r="M10" s="65">
        <f t="shared" si="13"/>
        <v>0</v>
      </c>
      <c r="N10" s="49">
        <f>SUM(Costi!G4:G7)</f>
        <v>0</v>
      </c>
      <c r="O10" s="672" t="s">
        <v>291</v>
      </c>
      <c r="P10" s="47" t="s">
        <v>294</v>
      </c>
    </row>
    <row r="11" spans="1:16" x14ac:dyDescent="0.15">
      <c r="A11" s="46" t="s">
        <v>295</v>
      </c>
      <c r="B11" s="65">
        <f t="shared" si="2"/>
        <v>0</v>
      </c>
      <c r="C11" s="65">
        <f t="shared" si="3"/>
        <v>0</v>
      </c>
      <c r="D11" s="65">
        <f t="shared" si="4"/>
        <v>0</v>
      </c>
      <c r="E11" s="65">
        <f t="shared" si="5"/>
        <v>0</v>
      </c>
      <c r="F11" s="65">
        <f t="shared" si="6"/>
        <v>0</v>
      </c>
      <c r="G11" s="65">
        <f t="shared" si="7"/>
        <v>0</v>
      </c>
      <c r="H11" s="65">
        <f t="shared" si="8"/>
        <v>0</v>
      </c>
      <c r="I11" s="65">
        <f t="shared" si="9"/>
        <v>0</v>
      </c>
      <c r="J11" s="65">
        <f t="shared" si="10"/>
        <v>0</v>
      </c>
      <c r="K11" s="65">
        <f t="shared" si="11"/>
        <v>0</v>
      </c>
      <c r="L11" s="65">
        <f t="shared" si="12"/>
        <v>0</v>
      </c>
      <c r="M11" s="65">
        <f t="shared" si="13"/>
        <v>0</v>
      </c>
      <c r="N11" s="49">
        <f>Costi!G16-Costi!L27</f>
        <v>0</v>
      </c>
      <c r="O11" s="672" t="s">
        <v>291</v>
      </c>
      <c r="P11" s="47" t="s">
        <v>296</v>
      </c>
    </row>
    <row r="12" spans="1:16" x14ac:dyDescent="0.15">
      <c r="A12" s="1" t="str">
        <f>Costi!B19</f>
        <v xml:space="preserve">AVS/AI/IPG </v>
      </c>
      <c r="B12" s="64">
        <f t="shared" si="2"/>
        <v>0</v>
      </c>
      <c r="C12" s="64">
        <f t="shared" si="3"/>
        <v>0</v>
      </c>
      <c r="D12" s="64">
        <f t="shared" si="4"/>
        <v>0</v>
      </c>
      <c r="E12" s="64">
        <f t="shared" si="5"/>
        <v>0</v>
      </c>
      <c r="F12" s="64">
        <f t="shared" si="6"/>
        <v>0</v>
      </c>
      <c r="G12" s="64">
        <f t="shared" si="7"/>
        <v>0</v>
      </c>
      <c r="H12" s="64">
        <f t="shared" si="8"/>
        <v>0</v>
      </c>
      <c r="I12" s="64">
        <f t="shared" si="9"/>
        <v>0</v>
      </c>
      <c r="J12" s="64">
        <f t="shared" si="10"/>
        <v>0</v>
      </c>
      <c r="K12" s="64">
        <f t="shared" si="11"/>
        <v>0</v>
      </c>
      <c r="L12" s="64">
        <f t="shared" si="12"/>
        <v>0</v>
      </c>
      <c r="M12" s="64">
        <f t="shared" si="13"/>
        <v>0</v>
      </c>
      <c r="N12" s="48">
        <f>Costi!G19</f>
        <v>0</v>
      </c>
      <c r="O12" s="672" t="s">
        <v>297</v>
      </c>
      <c r="P12" s="47" t="s">
        <v>298</v>
      </c>
    </row>
    <row r="13" spans="1:16" x14ac:dyDescent="0.15">
      <c r="A13" s="1" t="str">
        <f>Costi!B24</f>
        <v xml:space="preserve">Perdita salario per malattia   </v>
      </c>
      <c r="B13" s="64">
        <f t="shared" si="2"/>
        <v>0</v>
      </c>
      <c r="C13" s="64">
        <f t="shared" si="3"/>
        <v>0</v>
      </c>
      <c r="D13" s="64">
        <f t="shared" si="4"/>
        <v>0</v>
      </c>
      <c r="E13" s="64">
        <f t="shared" si="5"/>
        <v>0</v>
      </c>
      <c r="F13" s="64">
        <f t="shared" si="6"/>
        <v>0</v>
      </c>
      <c r="G13" s="64">
        <f t="shared" si="7"/>
        <v>0</v>
      </c>
      <c r="H13" s="64">
        <f t="shared" si="8"/>
        <v>0</v>
      </c>
      <c r="I13" s="64">
        <f t="shared" si="9"/>
        <v>0</v>
      </c>
      <c r="J13" s="64">
        <f t="shared" si="10"/>
        <v>0</v>
      </c>
      <c r="K13" s="64">
        <f t="shared" si="11"/>
        <v>0</v>
      </c>
      <c r="L13" s="64">
        <f t="shared" si="12"/>
        <v>0</v>
      </c>
      <c r="M13" s="64">
        <f t="shared" si="13"/>
        <v>0</v>
      </c>
      <c r="N13" s="48">
        <f>Costi!G24</f>
        <v>0</v>
      </c>
      <c r="O13" s="672" t="s">
        <v>299</v>
      </c>
      <c r="P13" s="47" t="s">
        <v>300</v>
      </c>
    </row>
    <row r="14" spans="1:16" x14ac:dyDescent="0.15">
      <c r="A14" s="1" t="s">
        <v>301</v>
      </c>
      <c r="B14" s="64">
        <f t="shared" si="2"/>
        <v>0</v>
      </c>
      <c r="C14" s="64">
        <f t="shared" si="3"/>
        <v>0</v>
      </c>
      <c r="D14" s="64">
        <f t="shared" si="4"/>
        <v>0</v>
      </c>
      <c r="E14" s="64">
        <f t="shared" si="5"/>
        <v>0</v>
      </c>
      <c r="F14" s="64">
        <f t="shared" si="6"/>
        <v>0</v>
      </c>
      <c r="G14" s="64">
        <f t="shared" si="7"/>
        <v>0</v>
      </c>
      <c r="H14" s="64">
        <f t="shared" si="8"/>
        <v>0</v>
      </c>
      <c r="I14" s="64">
        <f t="shared" si="9"/>
        <v>0</v>
      </c>
      <c r="J14" s="64">
        <f t="shared" si="10"/>
        <v>0</v>
      </c>
      <c r="K14" s="64">
        <f t="shared" si="11"/>
        <v>0</v>
      </c>
      <c r="L14" s="64">
        <f t="shared" si="12"/>
        <v>0</v>
      </c>
      <c r="M14" s="64">
        <f t="shared" si="13"/>
        <v>0</v>
      </c>
      <c r="N14" s="48">
        <f>Costi!G20+Costi!G21+Costi!G22+Costi!G25</f>
        <v>0</v>
      </c>
      <c r="O14" s="672" t="s">
        <v>297</v>
      </c>
      <c r="P14" s="47" t="s">
        <v>302</v>
      </c>
    </row>
    <row r="15" spans="1:16" x14ac:dyDescent="0.15">
      <c r="A15" s="46" t="str">
        <f>Costi!B26</f>
        <v>Recupero da prestazioni sociali (SI o No)</v>
      </c>
      <c r="B15" s="65">
        <f t="shared" si="2"/>
        <v>0</v>
      </c>
      <c r="C15" s="65">
        <f t="shared" si="3"/>
        <v>0</v>
      </c>
      <c r="D15" s="65">
        <f t="shared" si="4"/>
        <v>0</v>
      </c>
      <c r="E15" s="65">
        <f t="shared" si="5"/>
        <v>0</v>
      </c>
      <c r="F15" s="65">
        <f t="shared" si="6"/>
        <v>0</v>
      </c>
      <c r="G15" s="65">
        <f t="shared" si="7"/>
        <v>0</v>
      </c>
      <c r="H15" s="65">
        <f t="shared" si="8"/>
        <v>0</v>
      </c>
      <c r="I15" s="65">
        <f t="shared" si="9"/>
        <v>0</v>
      </c>
      <c r="J15" s="65">
        <f t="shared" si="10"/>
        <v>0</v>
      </c>
      <c r="K15" s="65">
        <f t="shared" si="11"/>
        <v>0</v>
      </c>
      <c r="L15" s="65">
        <f t="shared" si="12"/>
        <v>0</v>
      </c>
      <c r="M15" s="65">
        <f t="shared" si="13"/>
        <v>0</v>
      </c>
      <c r="N15" s="49">
        <f>Costi!G26</f>
        <v>0</v>
      </c>
      <c r="O15" s="672" t="s">
        <v>303</v>
      </c>
      <c r="P15" s="47" t="s">
        <v>304</v>
      </c>
    </row>
    <row r="16" spans="1:16" x14ac:dyDescent="0.15">
      <c r="A16" s="1" t="s">
        <v>305</v>
      </c>
      <c r="B16" s="64">
        <f t="shared" si="2"/>
        <v>0</v>
      </c>
      <c r="C16" s="64">
        <f t="shared" si="3"/>
        <v>0</v>
      </c>
      <c r="D16" s="64">
        <f t="shared" si="4"/>
        <v>0</v>
      </c>
      <c r="E16" s="64">
        <f t="shared" si="5"/>
        <v>0</v>
      </c>
      <c r="F16" s="64">
        <f t="shared" si="6"/>
        <v>0</v>
      </c>
      <c r="G16" s="64">
        <f t="shared" si="7"/>
        <v>0</v>
      </c>
      <c r="H16" s="64">
        <f t="shared" si="8"/>
        <v>0</v>
      </c>
      <c r="I16" s="64">
        <f t="shared" si="9"/>
        <v>0</v>
      </c>
      <c r="J16" s="64">
        <f t="shared" si="10"/>
        <v>0</v>
      </c>
      <c r="K16" s="64">
        <f t="shared" si="11"/>
        <v>0</v>
      </c>
      <c r="L16" s="64">
        <f t="shared" si="12"/>
        <v>0</v>
      </c>
      <c r="M16" s="64">
        <f t="shared" si="13"/>
        <v>0</v>
      </c>
      <c r="N16" s="48">
        <f>Costi!G30</f>
        <v>0</v>
      </c>
      <c r="O16" s="672" t="s">
        <v>291</v>
      </c>
      <c r="P16" s="68"/>
    </row>
    <row r="17" spans="1:16" x14ac:dyDescent="0.15">
      <c r="A17" s="46" t="s">
        <v>306</v>
      </c>
      <c r="B17" s="65">
        <f t="shared" si="2"/>
        <v>0</v>
      </c>
      <c r="C17" s="65">
        <f t="shared" si="3"/>
        <v>0</v>
      </c>
      <c r="D17" s="65">
        <f t="shared" si="4"/>
        <v>0</v>
      </c>
      <c r="E17" s="65">
        <f t="shared" si="5"/>
        <v>0</v>
      </c>
      <c r="F17" s="65">
        <f t="shared" si="6"/>
        <v>0</v>
      </c>
      <c r="G17" s="65">
        <f t="shared" si="7"/>
        <v>0</v>
      </c>
      <c r="H17" s="65">
        <f t="shared" si="8"/>
        <v>0</v>
      </c>
      <c r="I17" s="65">
        <f t="shared" si="9"/>
        <v>0</v>
      </c>
      <c r="J17" s="65">
        <f t="shared" si="10"/>
        <v>0</v>
      </c>
      <c r="K17" s="65">
        <f t="shared" si="11"/>
        <v>0</v>
      </c>
      <c r="L17" s="65">
        <f t="shared" si="12"/>
        <v>0</v>
      </c>
      <c r="M17" s="65">
        <f t="shared" si="13"/>
        <v>0</v>
      </c>
      <c r="N17" s="49">
        <f>+Costi!G31+Costi!G32</f>
        <v>0</v>
      </c>
      <c r="O17" s="672" t="s">
        <v>291</v>
      </c>
      <c r="P17" s="47"/>
    </row>
    <row r="18" spans="1:16" x14ac:dyDescent="0.15">
      <c r="A18" s="46" t="s">
        <v>307</v>
      </c>
      <c r="B18" s="65">
        <f t="shared" si="2"/>
        <v>0</v>
      </c>
      <c r="C18" s="65">
        <f t="shared" si="3"/>
        <v>0</v>
      </c>
      <c r="D18" s="65">
        <f t="shared" si="4"/>
        <v>0</v>
      </c>
      <c r="E18" s="65">
        <f t="shared" si="5"/>
        <v>0</v>
      </c>
      <c r="F18" s="65">
        <f t="shared" si="6"/>
        <v>0</v>
      </c>
      <c r="G18" s="65">
        <f t="shared" si="7"/>
        <v>0</v>
      </c>
      <c r="H18" s="65">
        <f t="shared" si="8"/>
        <v>0</v>
      </c>
      <c r="I18" s="65">
        <f t="shared" si="9"/>
        <v>0</v>
      </c>
      <c r="J18" s="65">
        <f t="shared" si="10"/>
        <v>0</v>
      </c>
      <c r="K18" s="65">
        <f t="shared" si="11"/>
        <v>0</v>
      </c>
      <c r="L18" s="65">
        <f t="shared" si="12"/>
        <v>0</v>
      </c>
      <c r="M18" s="65">
        <f t="shared" si="13"/>
        <v>0</v>
      </c>
      <c r="N18" s="49">
        <f>Costi!G39</f>
        <v>0</v>
      </c>
      <c r="O18" s="672" t="s">
        <v>291</v>
      </c>
      <c r="P18" s="47"/>
    </row>
    <row r="19" spans="1:16" x14ac:dyDescent="0.15">
      <c r="A19" s="1" t="str">
        <f>Costi!B48</f>
        <v>Carburanti</v>
      </c>
      <c r="B19" s="64">
        <f t="shared" si="2"/>
        <v>0</v>
      </c>
      <c r="C19" s="64">
        <f t="shared" si="3"/>
        <v>0</v>
      </c>
      <c r="D19" s="64">
        <f t="shared" si="4"/>
        <v>0</v>
      </c>
      <c r="E19" s="64">
        <f t="shared" si="5"/>
        <v>0</v>
      </c>
      <c r="F19" s="64">
        <f t="shared" si="6"/>
        <v>0</v>
      </c>
      <c r="G19" s="64">
        <f t="shared" si="7"/>
        <v>0</v>
      </c>
      <c r="H19" s="64">
        <f t="shared" si="8"/>
        <v>0</v>
      </c>
      <c r="I19" s="64">
        <f t="shared" si="9"/>
        <v>0</v>
      </c>
      <c r="J19" s="64">
        <f t="shared" si="10"/>
        <v>0</v>
      </c>
      <c r="K19" s="64">
        <f t="shared" si="11"/>
        <v>0</v>
      </c>
      <c r="L19" s="64">
        <f t="shared" si="12"/>
        <v>0</v>
      </c>
      <c r="M19" s="64">
        <f t="shared" si="13"/>
        <v>0</v>
      </c>
      <c r="N19" s="48">
        <f>Costi!G48</f>
        <v>0</v>
      </c>
      <c r="O19" s="672" t="s">
        <v>291</v>
      </c>
      <c r="P19" s="47"/>
    </row>
    <row r="20" spans="1:16" x14ac:dyDescent="0.15">
      <c r="A20" s="1" t="str">
        <f>Costi!B49</f>
        <v>Assicurazioni</v>
      </c>
      <c r="B20" s="64">
        <f t="shared" si="2"/>
        <v>0</v>
      </c>
      <c r="C20" s="64">
        <f t="shared" si="3"/>
        <v>0</v>
      </c>
      <c r="D20" s="64">
        <f t="shared" si="4"/>
        <v>0</v>
      </c>
      <c r="E20" s="64">
        <f t="shared" si="5"/>
        <v>0</v>
      </c>
      <c r="F20" s="64">
        <f t="shared" si="6"/>
        <v>0</v>
      </c>
      <c r="G20" s="64">
        <f t="shared" si="7"/>
        <v>0</v>
      </c>
      <c r="H20" s="64">
        <f t="shared" si="8"/>
        <v>0</v>
      </c>
      <c r="I20" s="64">
        <f t="shared" si="9"/>
        <v>0</v>
      </c>
      <c r="J20" s="64">
        <f t="shared" si="10"/>
        <v>0</v>
      </c>
      <c r="K20" s="64">
        <f t="shared" si="11"/>
        <v>0</v>
      </c>
      <c r="L20" s="64">
        <f t="shared" si="12"/>
        <v>0</v>
      </c>
      <c r="M20" s="64">
        <f t="shared" si="13"/>
        <v>0</v>
      </c>
      <c r="N20" s="48">
        <f>Costi!G49</f>
        <v>0</v>
      </c>
      <c r="O20" s="672" t="s">
        <v>299</v>
      </c>
    </row>
    <row r="21" spans="1:16" x14ac:dyDescent="0.15">
      <c r="A21" s="1" t="str">
        <f>Costi!B50</f>
        <v>Tasse circolazione</v>
      </c>
      <c r="B21" s="64">
        <f t="shared" si="2"/>
        <v>0</v>
      </c>
      <c r="C21" s="64">
        <f t="shared" si="3"/>
        <v>0</v>
      </c>
      <c r="D21" s="64">
        <f t="shared" si="4"/>
        <v>0</v>
      </c>
      <c r="E21" s="64">
        <f t="shared" si="5"/>
        <v>0</v>
      </c>
      <c r="F21" s="64">
        <f t="shared" si="6"/>
        <v>0</v>
      </c>
      <c r="G21" s="64">
        <f t="shared" si="7"/>
        <v>0</v>
      </c>
      <c r="H21" s="64">
        <f t="shared" si="8"/>
        <v>0</v>
      </c>
      <c r="I21" s="64">
        <f t="shared" si="9"/>
        <v>0</v>
      </c>
      <c r="J21" s="64">
        <f t="shared" si="10"/>
        <v>0</v>
      </c>
      <c r="K21" s="64">
        <f t="shared" si="11"/>
        <v>0</v>
      </c>
      <c r="L21" s="64">
        <f t="shared" si="12"/>
        <v>0</v>
      </c>
      <c r="M21" s="64">
        <f t="shared" si="13"/>
        <v>0</v>
      </c>
      <c r="N21" s="48">
        <f>Costi!G50</f>
        <v>0</v>
      </c>
      <c r="O21" s="672" t="s">
        <v>308</v>
      </c>
    </row>
    <row r="22" spans="1:16" x14ac:dyDescent="0.15">
      <c r="A22" s="46" t="s">
        <v>309</v>
      </c>
      <c r="B22" s="65">
        <f t="shared" si="2"/>
        <v>0</v>
      </c>
      <c r="C22" s="65">
        <f t="shared" si="3"/>
        <v>0</v>
      </c>
      <c r="D22" s="65">
        <f t="shared" si="4"/>
        <v>0</v>
      </c>
      <c r="E22" s="65">
        <f t="shared" si="5"/>
        <v>0</v>
      </c>
      <c r="F22" s="65">
        <f t="shared" si="6"/>
        <v>0</v>
      </c>
      <c r="G22" s="65">
        <f t="shared" si="7"/>
        <v>0</v>
      </c>
      <c r="H22" s="65">
        <f t="shared" si="8"/>
        <v>0</v>
      </c>
      <c r="I22" s="65">
        <f t="shared" si="9"/>
        <v>0</v>
      </c>
      <c r="J22" s="65">
        <f t="shared" si="10"/>
        <v>0</v>
      </c>
      <c r="K22" s="65">
        <f t="shared" si="11"/>
        <v>0</v>
      </c>
      <c r="L22" s="65">
        <f t="shared" si="12"/>
        <v>0</v>
      </c>
      <c r="M22" s="65">
        <f t="shared" si="13"/>
        <v>0</v>
      </c>
      <c r="N22" s="49">
        <f>Costi!G47+Costi!G51+Costi!G52</f>
        <v>0</v>
      </c>
      <c r="O22" s="672" t="s">
        <v>291</v>
      </c>
    </row>
    <row r="23" spans="1:16" x14ac:dyDescent="0.15">
      <c r="A23" s="46" t="s">
        <v>310</v>
      </c>
      <c r="B23" s="65">
        <f t="shared" si="2"/>
        <v>0</v>
      </c>
      <c r="C23" s="65">
        <f t="shared" si="3"/>
        <v>0</v>
      </c>
      <c r="D23" s="65">
        <f t="shared" si="4"/>
        <v>0</v>
      </c>
      <c r="E23" s="65">
        <f t="shared" si="5"/>
        <v>0</v>
      </c>
      <c r="F23" s="65">
        <f t="shared" si="6"/>
        <v>0</v>
      </c>
      <c r="G23" s="65">
        <f t="shared" si="7"/>
        <v>0</v>
      </c>
      <c r="H23" s="65">
        <f t="shared" si="8"/>
        <v>0</v>
      </c>
      <c r="I23" s="65">
        <f t="shared" si="9"/>
        <v>0</v>
      </c>
      <c r="J23" s="65">
        <f t="shared" si="10"/>
        <v>0</v>
      </c>
      <c r="K23" s="65">
        <f t="shared" si="11"/>
        <v>0</v>
      </c>
      <c r="L23" s="65">
        <f t="shared" si="12"/>
        <v>0</v>
      </c>
      <c r="M23" s="65">
        <f t="shared" si="13"/>
        <v>0</v>
      </c>
      <c r="N23" s="49">
        <f>Costi!G59</f>
        <v>0</v>
      </c>
      <c r="O23" s="672" t="s">
        <v>299</v>
      </c>
    </row>
    <row r="24" spans="1:16" x14ac:dyDescent="0.15">
      <c r="A24" s="46" t="str">
        <f>Costi!B64</f>
        <v>Tasse in generale</v>
      </c>
      <c r="B24" s="65">
        <f t="shared" si="2"/>
        <v>0</v>
      </c>
      <c r="C24" s="65">
        <f t="shared" si="3"/>
        <v>0</v>
      </c>
      <c r="D24" s="65">
        <f t="shared" si="4"/>
        <v>0</v>
      </c>
      <c r="E24" s="65">
        <f t="shared" si="5"/>
        <v>0</v>
      </c>
      <c r="F24" s="65">
        <f t="shared" si="6"/>
        <v>0</v>
      </c>
      <c r="G24" s="65">
        <f t="shared" si="7"/>
        <v>0</v>
      </c>
      <c r="H24" s="65">
        <f t="shared" si="8"/>
        <v>0</v>
      </c>
      <c r="I24" s="65">
        <f t="shared" si="9"/>
        <v>0</v>
      </c>
      <c r="J24" s="65">
        <f t="shared" si="10"/>
        <v>0</v>
      </c>
      <c r="K24" s="65">
        <f t="shared" si="11"/>
        <v>0</v>
      </c>
      <c r="L24" s="65">
        <f t="shared" si="12"/>
        <v>0</v>
      </c>
      <c r="M24" s="65">
        <f t="shared" si="13"/>
        <v>0</v>
      </c>
      <c r="N24" s="49">
        <f>Costi!G66</f>
        <v>0</v>
      </c>
      <c r="O24" s="672" t="s">
        <v>303</v>
      </c>
    </row>
    <row r="25" spans="1:16" x14ac:dyDescent="0.15">
      <c r="A25" s="1" t="str">
        <f>Costi!B69</f>
        <v>Elettricità</v>
      </c>
      <c r="B25" s="64">
        <f t="shared" ref="B25:B40" si="14">IF($O25="12",$N25/12,IF($O25="I",$N25,0))</f>
        <v>0</v>
      </c>
      <c r="C25" s="64">
        <f t="shared" ref="C25:C40" si="15">IF(OR($O25="12",$O25="6"),$N25/O25,0)</f>
        <v>0</v>
      </c>
      <c r="D25" s="64">
        <f t="shared" ref="D25:D40" si="16">IF(OR($O25="12",$O25="4"),$N25/$O25,0)</f>
        <v>0</v>
      </c>
      <c r="E25" s="64">
        <f t="shared" ref="E25:E40" si="17">IF(OR($O25="12",$O25="6",$O25="3"),$N25/$O25,0)</f>
        <v>0</v>
      </c>
      <c r="F25" s="64">
        <f t="shared" ref="F25:F40" si="18">IF($O25="12",$N25/12,0)</f>
        <v>0</v>
      </c>
      <c r="G25" s="64">
        <f t="shared" ref="G25:G40" si="19">IF(OR($O25="12",$O25="6",$O25="4",$O25="2"),$N25/$O25,0)</f>
        <v>0</v>
      </c>
      <c r="H25" s="64">
        <f t="shared" ref="H25:H40" si="20">IF($O25="12",$N25/12,0)</f>
        <v>0</v>
      </c>
      <c r="I25" s="64">
        <f t="shared" ref="I25:I40" si="21">IF(OR($O25="12",$O25="6",$O25="3"),$N25/$O25,0)</f>
        <v>0</v>
      </c>
      <c r="J25" s="64">
        <f t="shared" ref="J25:J40" si="22">IF(OR($O25="12",$O25="4"),$N25/$O25,0)</f>
        <v>0</v>
      </c>
      <c r="K25" s="64">
        <f t="shared" ref="K25:K40" si="23">IF(OR($O25="12",$O25="6"),$N25/$O25,0)</f>
        <v>0</v>
      </c>
      <c r="L25" s="64">
        <f t="shared" ref="L25:L40" si="24">IF($O25="12",$N25/12,0)</f>
        <v>0</v>
      </c>
      <c r="M25" s="64">
        <f t="shared" ref="M25:M40" si="25">IF(OR($O25="12",$O25="6",$O25="4",$O25="3",$O25="2"),$N25/$O25,IF($O25="F",$N25,0))</f>
        <v>0</v>
      </c>
      <c r="N25" s="48">
        <f>Costi!G69</f>
        <v>0</v>
      </c>
      <c r="O25" s="672" t="s">
        <v>297</v>
      </c>
    </row>
    <row r="26" spans="1:16" x14ac:dyDescent="0.15">
      <c r="A26" s="1" t="str">
        <f>Costi!B71</f>
        <v>Acqua</v>
      </c>
      <c r="B26" s="64">
        <f t="shared" si="14"/>
        <v>0</v>
      </c>
      <c r="C26" s="64">
        <f t="shared" si="15"/>
        <v>0</v>
      </c>
      <c r="D26" s="64">
        <f t="shared" si="16"/>
        <v>0</v>
      </c>
      <c r="E26" s="64">
        <f t="shared" si="17"/>
        <v>0</v>
      </c>
      <c r="F26" s="64">
        <f t="shared" si="18"/>
        <v>0</v>
      </c>
      <c r="G26" s="64">
        <f t="shared" si="19"/>
        <v>0</v>
      </c>
      <c r="H26" s="64">
        <f t="shared" si="20"/>
        <v>0</v>
      </c>
      <c r="I26" s="64">
        <f t="shared" si="21"/>
        <v>0</v>
      </c>
      <c r="J26" s="64">
        <f t="shared" si="22"/>
        <v>0</v>
      </c>
      <c r="K26" s="64">
        <f t="shared" si="23"/>
        <v>0</v>
      </c>
      <c r="L26" s="64">
        <f t="shared" si="24"/>
        <v>0</v>
      </c>
      <c r="M26" s="64">
        <f t="shared" si="25"/>
        <v>0</v>
      </c>
      <c r="N26" s="48">
        <f>Costi!G71</f>
        <v>0</v>
      </c>
      <c r="O26" s="672" t="s">
        <v>299</v>
      </c>
    </row>
    <row r="27" spans="1:16" x14ac:dyDescent="0.15">
      <c r="A27" s="46" t="str">
        <f>Costi!B72</f>
        <v>Smaltimento rifiuti</v>
      </c>
      <c r="B27" s="65">
        <f t="shared" si="14"/>
        <v>0</v>
      </c>
      <c r="C27" s="65">
        <f t="shared" si="15"/>
        <v>0</v>
      </c>
      <c r="D27" s="65">
        <f t="shared" si="16"/>
        <v>0</v>
      </c>
      <c r="E27" s="65">
        <f t="shared" si="17"/>
        <v>0</v>
      </c>
      <c r="F27" s="65">
        <f t="shared" si="18"/>
        <v>0</v>
      </c>
      <c r="G27" s="65">
        <f t="shared" si="19"/>
        <v>0</v>
      </c>
      <c r="H27" s="65">
        <f t="shared" si="20"/>
        <v>0</v>
      </c>
      <c r="I27" s="65">
        <f t="shared" si="21"/>
        <v>0</v>
      </c>
      <c r="J27" s="65">
        <f t="shared" si="22"/>
        <v>0</v>
      </c>
      <c r="K27" s="65">
        <f t="shared" si="23"/>
        <v>0</v>
      </c>
      <c r="L27" s="65">
        <f t="shared" si="24"/>
        <v>0</v>
      </c>
      <c r="M27" s="65">
        <f t="shared" si="25"/>
        <v>0</v>
      </c>
      <c r="N27" s="49">
        <f>Costi!G72</f>
        <v>0</v>
      </c>
      <c r="O27" s="672" t="s">
        <v>303</v>
      </c>
    </row>
    <row r="28" spans="1:16" x14ac:dyDescent="0.15">
      <c r="A28" s="1" t="str">
        <f>Costi!B77</f>
        <v>Stampanti e fotocopiatrici</v>
      </c>
      <c r="B28" s="64">
        <f t="shared" si="14"/>
        <v>0</v>
      </c>
      <c r="C28" s="64">
        <f t="shared" si="15"/>
        <v>0</v>
      </c>
      <c r="D28" s="64">
        <f t="shared" si="16"/>
        <v>0</v>
      </c>
      <c r="E28" s="64">
        <f t="shared" si="17"/>
        <v>0</v>
      </c>
      <c r="F28" s="64">
        <f t="shared" si="18"/>
        <v>0</v>
      </c>
      <c r="G28" s="64">
        <f t="shared" si="19"/>
        <v>0</v>
      </c>
      <c r="H28" s="64">
        <f t="shared" si="20"/>
        <v>0</v>
      </c>
      <c r="I28" s="64">
        <f t="shared" si="21"/>
        <v>0</v>
      </c>
      <c r="J28" s="64">
        <f t="shared" si="22"/>
        <v>0</v>
      </c>
      <c r="K28" s="64">
        <f t="shared" si="23"/>
        <v>0</v>
      </c>
      <c r="L28" s="64">
        <f t="shared" si="24"/>
        <v>0</v>
      </c>
      <c r="M28" s="64">
        <f t="shared" si="25"/>
        <v>0</v>
      </c>
      <c r="N28" s="48">
        <f>Costi!G77+Costi!G76</f>
        <v>0</v>
      </c>
      <c r="O28" s="672" t="s">
        <v>291</v>
      </c>
    </row>
    <row r="29" spans="1:16" x14ac:dyDescent="0.15">
      <c r="A29" s="1" t="str">
        <f>Costi!B78</f>
        <v>Telefono, fax, E-Mail</v>
      </c>
      <c r="B29" s="64">
        <f t="shared" si="14"/>
        <v>0</v>
      </c>
      <c r="C29" s="64">
        <f t="shared" si="15"/>
        <v>0</v>
      </c>
      <c r="D29" s="64">
        <f t="shared" si="16"/>
        <v>0</v>
      </c>
      <c r="E29" s="64">
        <f t="shared" si="17"/>
        <v>0</v>
      </c>
      <c r="F29" s="64">
        <f t="shared" si="18"/>
        <v>0</v>
      </c>
      <c r="G29" s="64">
        <f t="shared" si="19"/>
        <v>0</v>
      </c>
      <c r="H29" s="64">
        <f t="shared" si="20"/>
        <v>0</v>
      </c>
      <c r="I29" s="64">
        <f t="shared" si="21"/>
        <v>0</v>
      </c>
      <c r="J29" s="64">
        <f t="shared" si="22"/>
        <v>0</v>
      </c>
      <c r="K29" s="64">
        <f t="shared" si="23"/>
        <v>0</v>
      </c>
      <c r="L29" s="64">
        <f t="shared" si="24"/>
        <v>0</v>
      </c>
      <c r="M29" s="64">
        <f t="shared" si="25"/>
        <v>0</v>
      </c>
      <c r="N29" s="48">
        <f>Costi!G78</f>
        <v>0</v>
      </c>
      <c r="O29" s="672" t="s">
        <v>291</v>
      </c>
    </row>
    <row r="30" spans="1:16" x14ac:dyDescent="0.15">
      <c r="A30" s="1" t="str">
        <f>Costi!B79</f>
        <v>Porti</v>
      </c>
      <c r="B30" s="64">
        <f t="shared" si="14"/>
        <v>0</v>
      </c>
      <c r="C30" s="64">
        <f t="shared" si="15"/>
        <v>0</v>
      </c>
      <c r="D30" s="64">
        <f t="shared" si="16"/>
        <v>0</v>
      </c>
      <c r="E30" s="64">
        <f t="shared" si="17"/>
        <v>0</v>
      </c>
      <c r="F30" s="64">
        <f t="shared" si="18"/>
        <v>0</v>
      </c>
      <c r="G30" s="64">
        <f t="shared" si="19"/>
        <v>0</v>
      </c>
      <c r="H30" s="64">
        <f t="shared" si="20"/>
        <v>0</v>
      </c>
      <c r="I30" s="64">
        <f t="shared" si="21"/>
        <v>0</v>
      </c>
      <c r="J30" s="64">
        <f t="shared" si="22"/>
        <v>0</v>
      </c>
      <c r="K30" s="64">
        <f t="shared" si="23"/>
        <v>0</v>
      </c>
      <c r="L30" s="64">
        <f t="shared" si="24"/>
        <v>0</v>
      </c>
      <c r="M30" s="64">
        <f t="shared" si="25"/>
        <v>0</v>
      </c>
      <c r="N30" s="48">
        <f>Costi!G79</f>
        <v>0</v>
      </c>
      <c r="O30" s="672" t="s">
        <v>291</v>
      </c>
    </row>
    <row r="31" spans="1:16" x14ac:dyDescent="0.15">
      <c r="A31" s="46" t="str">
        <f>Costi!B80</f>
        <v xml:space="preserve">Diversi costi </v>
      </c>
      <c r="B31" s="65">
        <f t="shared" si="14"/>
        <v>0</v>
      </c>
      <c r="C31" s="65">
        <f t="shared" si="15"/>
        <v>0</v>
      </c>
      <c r="D31" s="65">
        <f t="shared" si="16"/>
        <v>0</v>
      </c>
      <c r="E31" s="65">
        <f t="shared" si="17"/>
        <v>0</v>
      </c>
      <c r="F31" s="65">
        <f t="shared" si="18"/>
        <v>0</v>
      </c>
      <c r="G31" s="65">
        <f t="shared" si="19"/>
        <v>0</v>
      </c>
      <c r="H31" s="65">
        <f t="shared" si="20"/>
        <v>0</v>
      </c>
      <c r="I31" s="65">
        <f t="shared" si="21"/>
        <v>0</v>
      </c>
      <c r="J31" s="65">
        <f t="shared" si="22"/>
        <v>0</v>
      </c>
      <c r="K31" s="65">
        <f t="shared" si="23"/>
        <v>0</v>
      </c>
      <c r="L31" s="65">
        <f t="shared" si="24"/>
        <v>0</v>
      </c>
      <c r="M31" s="65">
        <f t="shared" si="25"/>
        <v>0</v>
      </c>
      <c r="N31" s="49">
        <f>Costi!G80+Costi!G81</f>
        <v>0</v>
      </c>
      <c r="O31" s="672" t="s">
        <v>291</v>
      </c>
    </row>
    <row r="32" spans="1:16" x14ac:dyDescent="0.15">
      <c r="A32" s="1" t="str">
        <f>Costi!B85</f>
        <v>Inserzioni</v>
      </c>
      <c r="B32" s="64">
        <f t="shared" si="14"/>
        <v>0</v>
      </c>
      <c r="C32" s="64">
        <f t="shared" si="15"/>
        <v>0</v>
      </c>
      <c r="D32" s="64">
        <f t="shared" si="16"/>
        <v>0</v>
      </c>
      <c r="E32" s="64">
        <f t="shared" si="17"/>
        <v>0</v>
      </c>
      <c r="F32" s="64">
        <f t="shared" si="18"/>
        <v>0</v>
      </c>
      <c r="G32" s="64">
        <f t="shared" si="19"/>
        <v>0</v>
      </c>
      <c r="H32" s="64">
        <f t="shared" si="20"/>
        <v>0</v>
      </c>
      <c r="I32" s="64">
        <f t="shared" si="21"/>
        <v>0</v>
      </c>
      <c r="J32" s="64">
        <f t="shared" si="22"/>
        <v>0</v>
      </c>
      <c r="K32" s="64">
        <f t="shared" si="23"/>
        <v>0</v>
      </c>
      <c r="L32" s="64">
        <f t="shared" si="24"/>
        <v>0</v>
      </c>
      <c r="M32" s="64">
        <f t="shared" si="25"/>
        <v>0</v>
      </c>
      <c r="N32" s="48">
        <f>Costi!G85+Costi!G86+Costi!G87</f>
        <v>0</v>
      </c>
      <c r="O32" s="672" t="s">
        <v>297</v>
      </c>
    </row>
    <row r="33" spans="1:16" x14ac:dyDescent="0.15">
      <c r="A33" s="46" t="str">
        <f>Costi!B89</f>
        <v>Pubbliche relazioni</v>
      </c>
      <c r="B33" s="65">
        <f t="shared" si="14"/>
        <v>0</v>
      </c>
      <c r="C33" s="65">
        <f t="shared" si="15"/>
        <v>0</v>
      </c>
      <c r="D33" s="65">
        <f t="shared" si="16"/>
        <v>0</v>
      </c>
      <c r="E33" s="65">
        <f t="shared" si="17"/>
        <v>0</v>
      </c>
      <c r="F33" s="65">
        <f t="shared" si="18"/>
        <v>0</v>
      </c>
      <c r="G33" s="65">
        <f t="shared" si="19"/>
        <v>0</v>
      </c>
      <c r="H33" s="65">
        <f t="shared" si="20"/>
        <v>0</v>
      </c>
      <c r="I33" s="65">
        <f t="shared" si="21"/>
        <v>0</v>
      </c>
      <c r="J33" s="65">
        <f t="shared" si="22"/>
        <v>0</v>
      </c>
      <c r="K33" s="65">
        <f t="shared" si="23"/>
        <v>0</v>
      </c>
      <c r="L33" s="65">
        <f t="shared" si="24"/>
        <v>0</v>
      </c>
      <c r="M33" s="65">
        <f t="shared" si="25"/>
        <v>0</v>
      </c>
      <c r="N33" s="49">
        <f>Costi!G88+Costi!G89</f>
        <v>0</v>
      </c>
      <c r="O33" s="672" t="s">
        <v>299</v>
      </c>
    </row>
    <row r="34" spans="1:16" x14ac:dyDescent="0.15">
      <c r="A34" s="1" t="str">
        <f>Costi!B93</f>
        <v>Gestione CCP</v>
      </c>
      <c r="B34" s="64">
        <f t="shared" si="14"/>
        <v>0</v>
      </c>
      <c r="C34" s="64">
        <f t="shared" si="15"/>
        <v>0</v>
      </c>
      <c r="D34" s="64">
        <f t="shared" si="16"/>
        <v>0</v>
      </c>
      <c r="E34" s="64">
        <f t="shared" si="17"/>
        <v>0</v>
      </c>
      <c r="F34" s="64">
        <f t="shared" si="18"/>
        <v>0</v>
      </c>
      <c r="G34" s="64">
        <f t="shared" si="19"/>
        <v>0</v>
      </c>
      <c r="H34" s="64">
        <f t="shared" si="20"/>
        <v>0</v>
      </c>
      <c r="I34" s="64">
        <f t="shared" si="21"/>
        <v>0</v>
      </c>
      <c r="J34" s="64">
        <f t="shared" si="22"/>
        <v>0</v>
      </c>
      <c r="K34" s="64">
        <f t="shared" si="23"/>
        <v>0</v>
      </c>
      <c r="L34" s="64">
        <f t="shared" si="24"/>
        <v>0</v>
      </c>
      <c r="M34" s="64">
        <f t="shared" si="25"/>
        <v>0</v>
      </c>
      <c r="N34" s="48">
        <f>Costi!G93+Costi!G94+Costi!G95</f>
        <v>0</v>
      </c>
      <c r="O34" s="672" t="s">
        <v>303</v>
      </c>
    </row>
    <row r="35" spans="1:16" x14ac:dyDescent="0.15">
      <c r="A35" s="46" t="str">
        <f>Costi!B96</f>
        <v>Interessi passivi bancari</v>
      </c>
      <c r="B35" s="65">
        <f t="shared" si="14"/>
        <v>0</v>
      </c>
      <c r="C35" s="65">
        <f t="shared" si="15"/>
        <v>0</v>
      </c>
      <c r="D35" s="65">
        <f t="shared" si="16"/>
        <v>0</v>
      </c>
      <c r="E35" s="65">
        <f t="shared" si="17"/>
        <v>0</v>
      </c>
      <c r="F35" s="65">
        <f t="shared" si="18"/>
        <v>0</v>
      </c>
      <c r="G35" s="65">
        <f t="shared" si="19"/>
        <v>0</v>
      </c>
      <c r="H35" s="65">
        <f t="shared" si="20"/>
        <v>0</v>
      </c>
      <c r="I35" s="65">
        <f t="shared" si="21"/>
        <v>0</v>
      </c>
      <c r="J35" s="65">
        <f t="shared" si="22"/>
        <v>0</v>
      </c>
      <c r="K35" s="65">
        <f t="shared" si="23"/>
        <v>0</v>
      </c>
      <c r="L35" s="65">
        <f t="shared" si="24"/>
        <v>0</v>
      </c>
      <c r="M35" s="65">
        <f t="shared" si="25"/>
        <v>0</v>
      </c>
      <c r="N35" s="49">
        <f>Costi!G96+Costi!G101</f>
        <v>0</v>
      </c>
      <c r="O35" s="672" t="s">
        <v>299</v>
      </c>
    </row>
    <row r="36" spans="1:16" x14ac:dyDescent="0.15">
      <c r="A36" s="1" t="str">
        <f>Costi!B105</f>
        <v>Installazioni, riparazioni</v>
      </c>
      <c r="B36" s="64">
        <f t="shared" si="14"/>
        <v>0</v>
      </c>
      <c r="C36" s="64">
        <f t="shared" si="15"/>
        <v>0</v>
      </c>
      <c r="D36" s="64">
        <f t="shared" si="16"/>
        <v>0</v>
      </c>
      <c r="E36" s="64">
        <f t="shared" si="17"/>
        <v>0</v>
      </c>
      <c r="F36" s="64">
        <f t="shared" si="18"/>
        <v>0</v>
      </c>
      <c r="G36" s="64">
        <f t="shared" si="19"/>
        <v>0</v>
      </c>
      <c r="H36" s="64">
        <f t="shared" si="20"/>
        <v>0</v>
      </c>
      <c r="I36" s="64">
        <f t="shared" si="21"/>
        <v>0</v>
      </c>
      <c r="J36" s="64">
        <f t="shared" si="22"/>
        <v>0</v>
      </c>
      <c r="K36" s="64">
        <f t="shared" si="23"/>
        <v>0</v>
      </c>
      <c r="L36" s="64">
        <f t="shared" si="24"/>
        <v>0</v>
      </c>
      <c r="M36" s="64">
        <f t="shared" si="25"/>
        <v>0</v>
      </c>
      <c r="N36" s="48">
        <f>Costi!G105</f>
        <v>0</v>
      </c>
      <c r="O36" s="672" t="s">
        <v>303</v>
      </c>
    </row>
    <row r="37" spans="1:16" x14ac:dyDescent="0.15">
      <c r="A37" s="1" t="str">
        <f>Costi!B106</f>
        <v>Arredamento</v>
      </c>
      <c r="B37" s="64">
        <f t="shared" si="14"/>
        <v>0</v>
      </c>
      <c r="C37" s="64">
        <f t="shared" si="15"/>
        <v>0</v>
      </c>
      <c r="D37" s="64">
        <f t="shared" si="16"/>
        <v>0</v>
      </c>
      <c r="E37" s="64">
        <f t="shared" si="17"/>
        <v>0</v>
      </c>
      <c r="F37" s="64">
        <f t="shared" si="18"/>
        <v>0</v>
      </c>
      <c r="G37" s="64">
        <f t="shared" si="19"/>
        <v>0</v>
      </c>
      <c r="H37" s="64">
        <f t="shared" si="20"/>
        <v>0</v>
      </c>
      <c r="I37" s="64">
        <f t="shared" si="21"/>
        <v>0</v>
      </c>
      <c r="J37" s="64">
        <f t="shared" si="22"/>
        <v>0</v>
      </c>
      <c r="K37" s="64">
        <f t="shared" si="23"/>
        <v>0</v>
      </c>
      <c r="L37" s="64">
        <f t="shared" si="24"/>
        <v>0</v>
      </c>
      <c r="M37" s="64">
        <f t="shared" si="25"/>
        <v>0</v>
      </c>
      <c r="N37" s="48">
        <f>Costi!G106</f>
        <v>0</v>
      </c>
      <c r="O37" s="672" t="s">
        <v>303</v>
      </c>
    </row>
    <row r="38" spans="1:16" x14ac:dyDescent="0.15">
      <c r="A38" s="1" t="s">
        <v>56</v>
      </c>
      <c r="B38" s="64">
        <f t="shared" si="14"/>
        <v>0</v>
      </c>
      <c r="C38" s="64">
        <f t="shared" si="15"/>
        <v>0</v>
      </c>
      <c r="D38" s="64">
        <f t="shared" si="16"/>
        <v>0</v>
      </c>
      <c r="E38" s="64">
        <f t="shared" si="17"/>
        <v>0</v>
      </c>
      <c r="F38" s="64">
        <f t="shared" si="18"/>
        <v>0</v>
      </c>
      <c r="G38" s="64">
        <f t="shared" si="19"/>
        <v>0</v>
      </c>
      <c r="H38" s="64">
        <f t="shared" si="20"/>
        <v>0</v>
      </c>
      <c r="I38" s="64">
        <f t="shared" si="21"/>
        <v>0</v>
      </c>
      <c r="J38" s="64">
        <f t="shared" si="22"/>
        <v>0</v>
      </c>
      <c r="K38" s="64">
        <f t="shared" si="23"/>
        <v>0</v>
      </c>
      <c r="L38" s="64">
        <f t="shared" si="24"/>
        <v>0</v>
      </c>
      <c r="M38" s="64">
        <f t="shared" si="25"/>
        <v>0</v>
      </c>
      <c r="N38" s="48">
        <f>Costi!G44</f>
        <v>0</v>
      </c>
      <c r="O38" s="672" t="s">
        <v>291</v>
      </c>
    </row>
    <row r="39" spans="1:16" x14ac:dyDescent="0.15">
      <c r="A39" s="1" t="str">
        <f>Costi!B108</f>
        <v>Attrezzature</v>
      </c>
      <c r="B39" s="64">
        <f t="shared" si="14"/>
        <v>0</v>
      </c>
      <c r="C39" s="64">
        <f t="shared" si="15"/>
        <v>0</v>
      </c>
      <c r="D39" s="64">
        <f t="shared" si="16"/>
        <v>0</v>
      </c>
      <c r="E39" s="64">
        <f t="shared" si="17"/>
        <v>0</v>
      </c>
      <c r="F39" s="64">
        <f t="shared" si="18"/>
        <v>0</v>
      </c>
      <c r="G39" s="64">
        <f t="shared" si="19"/>
        <v>0</v>
      </c>
      <c r="H39" s="64">
        <f t="shared" si="20"/>
        <v>0</v>
      </c>
      <c r="I39" s="64">
        <f t="shared" si="21"/>
        <v>0</v>
      </c>
      <c r="J39" s="64">
        <f t="shared" si="22"/>
        <v>0</v>
      </c>
      <c r="K39" s="64">
        <f t="shared" si="23"/>
        <v>0</v>
      </c>
      <c r="L39" s="64">
        <f t="shared" si="24"/>
        <v>0</v>
      </c>
      <c r="M39" s="64">
        <f t="shared" si="25"/>
        <v>0</v>
      </c>
      <c r="N39" s="48">
        <f>Costi!G108</f>
        <v>0</v>
      </c>
      <c r="O39" s="672" t="s">
        <v>303</v>
      </c>
    </row>
    <row r="40" spans="1:16" x14ac:dyDescent="0.15">
      <c r="A40" s="46" t="str">
        <f>Costi!B109</f>
        <v xml:space="preserve">Fondazione </v>
      </c>
      <c r="B40" s="64">
        <f t="shared" si="14"/>
        <v>0</v>
      </c>
      <c r="C40" s="64">
        <f t="shared" si="15"/>
        <v>0</v>
      </c>
      <c r="D40" s="64">
        <f t="shared" si="16"/>
        <v>0</v>
      </c>
      <c r="E40" s="64">
        <f t="shared" si="17"/>
        <v>0</v>
      </c>
      <c r="F40" s="64">
        <f t="shared" si="18"/>
        <v>0</v>
      </c>
      <c r="G40" s="64">
        <f t="shared" si="19"/>
        <v>0</v>
      </c>
      <c r="H40" s="64">
        <f t="shared" si="20"/>
        <v>0</v>
      </c>
      <c r="I40" s="64">
        <f t="shared" si="21"/>
        <v>0</v>
      </c>
      <c r="J40" s="64">
        <f t="shared" si="22"/>
        <v>0</v>
      </c>
      <c r="K40" s="64">
        <f t="shared" si="23"/>
        <v>0</v>
      </c>
      <c r="L40" s="64">
        <f t="shared" si="24"/>
        <v>0</v>
      </c>
      <c r="M40" s="64">
        <f t="shared" si="25"/>
        <v>0</v>
      </c>
      <c r="N40" s="49">
        <f>Costi!G109</f>
        <v>0</v>
      </c>
      <c r="O40" s="675" t="s">
        <v>303</v>
      </c>
    </row>
    <row r="41" spans="1:16" ht="14" thickBot="1" x14ac:dyDescent="0.2">
      <c r="A41" s="134" t="str">
        <f>Costi!B112</f>
        <v>TOTALE DEI COSTI</v>
      </c>
      <c r="B41" s="135">
        <f t="shared" ref="B41:L41" si="26">SUM(B9:B40)</f>
        <v>0</v>
      </c>
      <c r="C41" s="135">
        <f t="shared" si="26"/>
        <v>0</v>
      </c>
      <c r="D41" s="135">
        <f t="shared" si="26"/>
        <v>0</v>
      </c>
      <c r="E41" s="135">
        <f t="shared" si="26"/>
        <v>0</v>
      </c>
      <c r="F41" s="135">
        <f t="shared" si="26"/>
        <v>0</v>
      </c>
      <c r="G41" s="135">
        <f t="shared" si="26"/>
        <v>0</v>
      </c>
      <c r="H41" s="135">
        <f t="shared" si="26"/>
        <v>0</v>
      </c>
      <c r="I41" s="135">
        <f t="shared" si="26"/>
        <v>0</v>
      </c>
      <c r="J41" s="135">
        <f t="shared" si="26"/>
        <v>0</v>
      </c>
      <c r="K41" s="135">
        <f t="shared" si="26"/>
        <v>0</v>
      </c>
      <c r="L41" s="135">
        <f t="shared" si="26"/>
        <v>0</v>
      </c>
      <c r="M41" s="135">
        <f>SUM(M9:M40)</f>
        <v>0</v>
      </c>
      <c r="N41" s="136">
        <f>Costi!G113+Costi!G101</f>
        <v>0</v>
      </c>
      <c r="O41" s="674"/>
      <c r="P41" s="674"/>
    </row>
    <row r="42" spans="1:16" ht="15" thickTop="1" thickBot="1" x14ac:dyDescent="0.2">
      <c r="A42" s="41" t="s">
        <v>311</v>
      </c>
      <c r="B42" s="137">
        <f>Tes.2°!M42+B7-B41</f>
        <v>0</v>
      </c>
      <c r="C42" s="137">
        <f t="shared" ref="C42:M42" si="27">B42+C7-C41</f>
        <v>0</v>
      </c>
      <c r="D42" s="137">
        <f t="shared" si="27"/>
        <v>0</v>
      </c>
      <c r="E42" s="137">
        <f t="shared" si="27"/>
        <v>0</v>
      </c>
      <c r="F42" s="137">
        <f t="shared" si="27"/>
        <v>0</v>
      </c>
      <c r="G42" s="137">
        <f t="shared" si="27"/>
        <v>0</v>
      </c>
      <c r="H42" s="137">
        <f t="shared" si="27"/>
        <v>0</v>
      </c>
      <c r="I42" s="137">
        <f t="shared" si="27"/>
        <v>0</v>
      </c>
      <c r="J42" s="137">
        <f t="shared" si="27"/>
        <v>0</v>
      </c>
      <c r="K42" s="137">
        <f t="shared" si="27"/>
        <v>0</v>
      </c>
      <c r="L42" s="137">
        <f t="shared" si="27"/>
        <v>0</v>
      </c>
      <c r="M42" s="137">
        <f t="shared" si="27"/>
        <v>0</v>
      </c>
      <c r="N42" s="673"/>
      <c r="O42" s="718" t="s">
        <v>504</v>
      </c>
    </row>
    <row r="43" spans="1:16" ht="14" thickTop="1" x14ac:dyDescent="0.15">
      <c r="B43" s="66"/>
    </row>
    <row r="44" spans="1:16" x14ac:dyDescent="0.15">
      <c r="B44" s="66"/>
      <c r="N44" s="66"/>
    </row>
    <row r="45" spans="1:16" x14ac:dyDescent="0.15">
      <c r="B45" s="66"/>
    </row>
  </sheetData>
  <sheetProtection password="DB4F" sheet="1" objects="1" scenarios="1" selectLockedCells="1"/>
  <phoneticPr fontId="15" type="noConversion"/>
  <pageMargins left="0.39" right="0.46" top="0.36" bottom="0.41" header="0.21" footer="0.27"/>
  <pageSetup paperSize="9" orientation="landscape" horizontalDpi="4294967293"/>
  <headerFooter alignWithMargins="0">
    <oddHeader>&amp;L&amp;A&amp;R&amp;F</oddHeader>
    <oddFooter>&amp;CPagina &amp;P+14&amp;R&amp;D</oddFooter>
  </headerFooter>
  <ignoredErrors>
    <ignoredError sqref="O9:O40" numberStoredAsText="1"/>
    <ignoredError sqref="G9:G40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9"/>
  <sheetViews>
    <sheetView workbookViewId="0">
      <selection activeCell="C24" sqref="C24"/>
    </sheetView>
  </sheetViews>
  <sheetFormatPr baseColWidth="10" defaultColWidth="9.1640625" defaultRowHeight="13" x14ac:dyDescent="0.15"/>
  <cols>
    <col min="1" max="1" width="29" style="1" customWidth="1"/>
    <col min="2" max="8" width="9.1640625" style="1"/>
    <col min="9" max="9" width="10.5" style="1" customWidth="1"/>
    <col min="10" max="16384" width="9.1640625" style="1"/>
  </cols>
  <sheetData>
    <row r="1" spans="1:7" ht="18" x14ac:dyDescent="0.2">
      <c r="A1" s="141" t="s">
        <v>365</v>
      </c>
      <c r="G1" s="714" t="str">
        <f>MID([1]Persona!$D$12,1,60)</f>
        <v/>
      </c>
    </row>
    <row r="2" spans="1:7" ht="18" x14ac:dyDescent="0.2">
      <c r="A2" s="141"/>
    </row>
    <row r="5" spans="1:7" ht="16" x14ac:dyDescent="0.2">
      <c r="A5" s="14" t="s">
        <v>366</v>
      </c>
      <c r="B5" s="96" t="s">
        <v>196</v>
      </c>
      <c r="C5" s="97"/>
      <c r="D5" s="96" t="s">
        <v>37</v>
      </c>
      <c r="E5" s="97"/>
      <c r="F5" s="96" t="s">
        <v>38</v>
      </c>
      <c r="G5" s="98"/>
    </row>
    <row r="6" spans="1:7" x14ac:dyDescent="0.15">
      <c r="A6" s="5" t="s">
        <v>367</v>
      </c>
      <c r="B6" s="232">
        <f>IF(Tes.1°!N3=0,0,Tes.1°!N3-(Tes.1°!N41-B7))</f>
        <v>0</v>
      </c>
      <c r="C6" s="233"/>
      <c r="D6" s="232">
        <f>IF(Tes.2°!N3=0,0,Tes.2°!N3-(Tes.2°!N41-D7))</f>
        <v>0</v>
      </c>
      <c r="E6" s="105"/>
      <c r="F6" s="232">
        <f>IF(Tes.3°!N3=0,0,Tes.3°!N3-(Tes.3°!N41-F7))</f>
        <v>0</v>
      </c>
      <c r="G6" s="234"/>
    </row>
    <row r="7" spans="1:7" x14ac:dyDescent="0.15">
      <c r="A7" s="5" t="s">
        <v>132</v>
      </c>
      <c r="B7" s="232">
        <f>IF(Tes.1°!N38=0,SUM(Tes.1°!N36:N40),SUM(Tes.1°!N36:N40)-Tes.1°!N38)</f>
        <v>0</v>
      </c>
      <c r="C7" s="233"/>
      <c r="D7" s="232">
        <f>IF(Tes.2°!N38=0,SUM(Tes.2°!N36:N40),SUM(Tes.2°!N36:N40)-Tes.2°!N38)</f>
        <v>0</v>
      </c>
      <c r="E7" s="105"/>
      <c r="F7" s="232">
        <f>IF(Tes.3°!N38=0,SUM(Tes.3°!N36:N40),SUM(Tes.3°!N36:N40)-Tes.3°!N38)</f>
        <v>0</v>
      </c>
      <c r="G7" s="234"/>
    </row>
    <row r="8" spans="1:7" ht="14" thickBot="1" x14ac:dyDescent="0.2">
      <c r="A8" s="23" t="s">
        <v>368</v>
      </c>
      <c r="B8" s="235">
        <v>0</v>
      </c>
      <c r="C8" s="236"/>
      <c r="D8" s="235">
        <v>0</v>
      </c>
      <c r="E8" s="112"/>
      <c r="F8" s="235">
        <v>0</v>
      </c>
      <c r="G8" s="237"/>
    </row>
    <row r="9" spans="1:7" x14ac:dyDescent="0.15">
      <c r="A9" s="238" t="s">
        <v>369</v>
      </c>
      <c r="B9" s="239">
        <f>B6-B7</f>
        <v>0</v>
      </c>
      <c r="C9" s="240"/>
      <c r="D9" s="239">
        <f>D6-D7</f>
        <v>0</v>
      </c>
      <c r="E9" s="240"/>
      <c r="F9" s="239">
        <f>F6-F7</f>
        <v>0</v>
      </c>
      <c r="G9" s="241"/>
    </row>
    <row r="10" spans="1:7" x14ac:dyDescent="0.15">
      <c r="B10" s="242"/>
      <c r="C10" s="114"/>
      <c r="D10" s="242"/>
      <c r="E10" s="114"/>
      <c r="F10" s="242"/>
      <c r="G10" s="114"/>
    </row>
    <row r="11" spans="1:7" x14ac:dyDescent="0.15">
      <c r="B11" s="242"/>
      <c r="C11" s="114"/>
      <c r="D11" s="242"/>
      <c r="E11" s="114"/>
      <c r="F11" s="242"/>
      <c r="G11" s="114"/>
    </row>
    <row r="12" spans="1:7" ht="16" x14ac:dyDescent="0.2">
      <c r="A12" s="14" t="s">
        <v>483</v>
      </c>
      <c r="B12" s="96" t="s">
        <v>196</v>
      </c>
      <c r="C12" s="97"/>
      <c r="D12" s="96" t="s">
        <v>37</v>
      </c>
      <c r="E12" s="97"/>
      <c r="F12" s="96" t="s">
        <v>38</v>
      </c>
      <c r="G12" s="98"/>
    </row>
    <row r="13" spans="1:7" x14ac:dyDescent="0.15">
      <c r="A13" s="5" t="s">
        <v>477</v>
      </c>
      <c r="B13" s="232">
        <f>IF(Tes.1°!N7=0,0,Tes.1°!N7-Tes.1°!N9-Tes.1°!N10)</f>
        <v>0</v>
      </c>
      <c r="C13" s="233"/>
      <c r="D13" s="232">
        <f>IF(Tes.2°!N7=0,0,Tes.2°!N7-Tes.2°!N9-Tes.2°!N10)</f>
        <v>0</v>
      </c>
      <c r="E13" s="105"/>
      <c r="F13" s="232">
        <f>IF(Tes.3°!N7=0,0,Tes.3°!N7-Tes.3°!N9-Tes.3°!N10)</f>
        <v>0</v>
      </c>
      <c r="G13" s="234"/>
    </row>
    <row r="14" spans="1:7" ht="14" thickBot="1" x14ac:dyDescent="0.2">
      <c r="A14" s="23" t="s">
        <v>484</v>
      </c>
      <c r="B14" s="235">
        <f>IF(Tes.1°!M42=0,0,Tes.1°!M42)</f>
        <v>0</v>
      </c>
      <c r="C14" s="236"/>
      <c r="D14" s="235">
        <f>IF(Tes.2°!M42=0,0,Tes.2°!M42)</f>
        <v>0</v>
      </c>
      <c r="E14" s="112"/>
      <c r="F14" s="235">
        <f>IF(Tes.3°!M42=0,0,Tes.3°!M42)</f>
        <v>0</v>
      </c>
      <c r="G14" s="237"/>
    </row>
    <row r="15" spans="1:7" x14ac:dyDescent="0.15">
      <c r="B15" s="242"/>
      <c r="C15" s="114"/>
      <c r="D15" s="242"/>
      <c r="E15" s="114"/>
      <c r="F15" s="242"/>
      <c r="G15" s="114"/>
    </row>
    <row r="16" spans="1:7" x14ac:dyDescent="0.15">
      <c r="B16" s="242"/>
      <c r="C16" s="114"/>
      <c r="D16" s="242"/>
      <c r="E16" s="114"/>
      <c r="F16" s="242"/>
      <c r="G16" s="114"/>
    </row>
    <row r="17" spans="1:9" ht="16" x14ac:dyDescent="0.2">
      <c r="A17" s="14" t="s">
        <v>370</v>
      </c>
      <c r="B17" s="96" t="s">
        <v>196</v>
      </c>
      <c r="C17" s="97"/>
      <c r="D17" s="96" t="s">
        <v>37</v>
      </c>
      <c r="E17" s="97"/>
      <c r="F17" s="96" t="s">
        <v>38</v>
      </c>
      <c r="G17" s="98"/>
    </row>
    <row r="18" spans="1:9" x14ac:dyDescent="0.15">
      <c r="A18" s="5" t="s">
        <v>371</v>
      </c>
      <c r="B18" s="232">
        <f>Tes.1°!N3-Tes.1°!N7</f>
        <v>0</v>
      </c>
      <c r="C18" s="105"/>
      <c r="D18" s="232">
        <f>Tes.2°!N3-Tes.2°!N7</f>
        <v>0</v>
      </c>
      <c r="E18" s="105"/>
      <c r="F18" s="232">
        <f>Tes.3°!N3-Tes.3°!N7</f>
        <v>0</v>
      </c>
      <c r="G18" s="234"/>
      <c r="I18" s="38"/>
    </row>
    <row r="19" spans="1:9" x14ac:dyDescent="0.15">
      <c r="A19" s="5" t="s">
        <v>374</v>
      </c>
      <c r="B19" s="232">
        <f>IF(B9=0,0,IF(B9&lt;Necessità!E33,Necessità!E33*-1,0))</f>
        <v>0</v>
      </c>
      <c r="C19" s="105"/>
      <c r="D19" s="232">
        <f>IF(D9=0,0,IF(D9&lt;Necessità!E33,Necessità!E33*-1,0))</f>
        <v>0</v>
      </c>
      <c r="E19" s="105"/>
      <c r="F19" s="232">
        <f>IF(F9=0,0,IF(F9&lt;Necessità!E33,Necessità!E33*-1,0))</f>
        <v>0</v>
      </c>
      <c r="G19" s="234"/>
      <c r="I19" s="38"/>
    </row>
    <row r="20" spans="1:9" x14ac:dyDescent="0.15">
      <c r="A20" s="5" t="s">
        <v>376</v>
      </c>
      <c r="B20" s="232">
        <f>B7-Necessità!E48</f>
        <v>0</v>
      </c>
      <c r="C20" s="105"/>
      <c r="D20" s="232">
        <f>B20+D7</f>
        <v>0</v>
      </c>
      <c r="E20" s="105"/>
      <c r="F20" s="232">
        <f>D20+F7</f>
        <v>0</v>
      </c>
      <c r="G20" s="234"/>
      <c r="I20" s="38"/>
    </row>
    <row r="21" spans="1:9" x14ac:dyDescent="0.15">
      <c r="A21" s="231" t="s">
        <v>379</v>
      </c>
      <c r="B21" s="239">
        <f>(Necessità!E49+Necessità!E50)*-1</f>
        <v>0</v>
      </c>
      <c r="C21" s="240"/>
      <c r="D21" s="239">
        <f>(Necessità!E49+Necessità!E50)*-1</f>
        <v>0</v>
      </c>
      <c r="E21" s="240"/>
      <c r="F21" s="239">
        <f>(Necessità!E49+Necessità!E50)*-1</f>
        <v>0</v>
      </c>
      <c r="G21" s="241"/>
      <c r="I21" s="38"/>
    </row>
    <row r="22" spans="1:9" x14ac:dyDescent="0.15">
      <c r="A22" s="5" t="s">
        <v>372</v>
      </c>
      <c r="B22" s="679">
        <v>0</v>
      </c>
      <c r="C22" s="680"/>
      <c r="D22" s="679">
        <v>0</v>
      </c>
      <c r="E22" s="680"/>
      <c r="F22" s="679">
        <v>0</v>
      </c>
      <c r="G22" s="681"/>
      <c r="I22" s="38"/>
    </row>
    <row r="23" spans="1:9" x14ac:dyDescent="0.15">
      <c r="A23" s="5" t="s">
        <v>373</v>
      </c>
      <c r="B23" s="679">
        <v>0</v>
      </c>
      <c r="C23" s="680"/>
      <c r="D23" s="679">
        <v>0</v>
      </c>
      <c r="E23" s="680"/>
      <c r="F23" s="679">
        <v>0</v>
      </c>
      <c r="G23" s="681"/>
      <c r="I23" s="38"/>
    </row>
    <row r="24" spans="1:9" x14ac:dyDescent="0.15">
      <c r="A24" s="5" t="s">
        <v>375</v>
      </c>
      <c r="B24" s="679">
        <v>0</v>
      </c>
      <c r="C24" s="680"/>
      <c r="D24" s="679">
        <v>0</v>
      </c>
      <c r="E24" s="680"/>
      <c r="F24" s="679">
        <v>0</v>
      </c>
      <c r="G24" s="681"/>
      <c r="I24" s="38"/>
    </row>
    <row r="25" spans="1:9" x14ac:dyDescent="0.15">
      <c r="A25" s="5" t="s">
        <v>377</v>
      </c>
      <c r="B25" s="679">
        <v>0</v>
      </c>
      <c r="C25" s="680"/>
      <c r="D25" s="679">
        <v>0</v>
      </c>
      <c r="E25" s="680"/>
      <c r="F25" s="679">
        <v>0</v>
      </c>
      <c r="G25" s="681"/>
      <c r="I25" s="38"/>
    </row>
    <row r="26" spans="1:9" ht="14" thickBot="1" x14ac:dyDescent="0.2">
      <c r="A26" s="23" t="s">
        <v>378</v>
      </c>
      <c r="B26" s="682">
        <v>0</v>
      </c>
      <c r="C26" s="683"/>
      <c r="D26" s="682">
        <v>0</v>
      </c>
      <c r="E26" s="683"/>
      <c r="F26" s="682">
        <v>0</v>
      </c>
      <c r="G26" s="684"/>
      <c r="I26" s="38"/>
    </row>
    <row r="27" spans="1:9" x14ac:dyDescent="0.15">
      <c r="A27" s="238" t="s">
        <v>380</v>
      </c>
      <c r="B27" s="239">
        <f>SUM(B18:B26)</f>
        <v>0</v>
      </c>
      <c r="C27" s="240"/>
      <c r="D27" s="239">
        <f>SUM(D18:D26)</f>
        <v>0</v>
      </c>
      <c r="E27" s="240"/>
      <c r="F27" s="239">
        <f>SUM(F18:F26)</f>
        <v>0</v>
      </c>
      <c r="G27" s="241"/>
      <c r="I27" s="38"/>
    </row>
    <row r="28" spans="1:9" x14ac:dyDescent="0.15">
      <c r="A28" s="93"/>
      <c r="B28" s="243"/>
      <c r="C28" s="244"/>
      <c r="D28" s="243"/>
      <c r="E28" s="244"/>
      <c r="F28" s="243"/>
      <c r="G28" s="244"/>
    </row>
    <row r="29" spans="1:9" x14ac:dyDescent="0.15">
      <c r="A29" s="93"/>
      <c r="B29" s="243"/>
      <c r="C29" s="244"/>
      <c r="D29" s="243"/>
      <c r="E29" s="244"/>
      <c r="F29" s="243"/>
      <c r="G29" s="244"/>
    </row>
    <row r="30" spans="1:9" x14ac:dyDescent="0.15">
      <c r="A30" s="4"/>
      <c r="B30" s="96" t="s">
        <v>196</v>
      </c>
      <c r="C30" s="97"/>
      <c r="D30" s="96" t="s">
        <v>37</v>
      </c>
      <c r="E30" s="97"/>
      <c r="F30" s="96" t="s">
        <v>38</v>
      </c>
      <c r="G30" s="98"/>
    </row>
    <row r="31" spans="1:9" ht="16" x14ac:dyDescent="0.2">
      <c r="A31" s="245" t="s">
        <v>381</v>
      </c>
      <c r="B31" s="239">
        <f>B9+B27</f>
        <v>0</v>
      </c>
      <c r="C31" s="240"/>
      <c r="D31" s="239">
        <f>D9+D27</f>
        <v>0</v>
      </c>
      <c r="E31" s="240"/>
      <c r="F31" s="239">
        <f>F9+F27</f>
        <v>0</v>
      </c>
      <c r="G31" s="241"/>
    </row>
    <row r="32" spans="1:9" ht="16" x14ac:dyDescent="0.2">
      <c r="A32" s="246"/>
      <c r="B32" s="243"/>
      <c r="C32" s="114"/>
      <c r="D32" s="243"/>
      <c r="E32" s="114"/>
      <c r="F32" s="243"/>
      <c r="G32" s="114"/>
    </row>
    <row r="33" spans="1:7" x14ac:dyDescent="0.15">
      <c r="A33" s="4"/>
      <c r="B33" s="96" t="s">
        <v>196</v>
      </c>
      <c r="C33" s="97"/>
      <c r="D33" s="96" t="s">
        <v>37</v>
      </c>
      <c r="E33" s="97"/>
      <c r="F33" s="96" t="s">
        <v>38</v>
      </c>
      <c r="G33" s="98"/>
    </row>
    <row r="34" spans="1:7" ht="16" x14ac:dyDescent="0.2">
      <c r="A34" s="245" t="s">
        <v>382</v>
      </c>
      <c r="B34" s="239">
        <f>IF(B27=0,0,B27-B31+IF(B19=0,Necessità!$E$33,0))</f>
        <v>0</v>
      </c>
      <c r="C34" s="240"/>
      <c r="D34" s="239">
        <f>IF(D27=0,0,D27-D31+IF(D19=0,Necessità!$E$33,0))</f>
        <v>0</v>
      </c>
      <c r="E34" s="247"/>
      <c r="F34" s="239">
        <f>IF(F27=0,0,F27-F31+IF(F19=0,Necessità!$E$33,0))</f>
        <v>0</v>
      </c>
      <c r="G34" s="248"/>
    </row>
    <row r="35" spans="1:7" ht="16" x14ac:dyDescent="0.2">
      <c r="A35" s="246"/>
      <c r="B35" s="243"/>
      <c r="C35" s="114"/>
      <c r="D35" s="243"/>
      <c r="E35" s="244"/>
      <c r="F35" s="243"/>
      <c r="G35" s="244"/>
    </row>
    <row r="36" spans="1:7" x14ac:dyDescent="0.15">
      <c r="A36" s="4"/>
      <c r="B36" s="96" t="s">
        <v>196</v>
      </c>
      <c r="C36" s="97"/>
      <c r="D36" s="96" t="s">
        <v>37</v>
      </c>
      <c r="E36" s="97"/>
      <c r="F36" s="96" t="s">
        <v>38</v>
      </c>
      <c r="G36" s="98"/>
    </row>
    <row r="37" spans="1:7" ht="16" x14ac:dyDescent="0.2">
      <c r="A37" s="249" t="s">
        <v>383</v>
      </c>
      <c r="B37" s="250">
        <f>B34*-1</f>
        <v>0</v>
      </c>
      <c r="C37" s="251"/>
      <c r="D37" s="250">
        <f>D34*-1</f>
        <v>0</v>
      </c>
      <c r="E37" s="251"/>
      <c r="F37" s="250">
        <f>F34*-1</f>
        <v>0</v>
      </c>
      <c r="G37" s="252"/>
    </row>
    <row r="39" spans="1:7" x14ac:dyDescent="0.15">
      <c r="F39" s="253"/>
      <c r="G39" s="718" t="s">
        <v>504</v>
      </c>
    </row>
  </sheetData>
  <sheetProtection password="DB4F" sheet="1" objects="1" scenarios="1" selectLockedCells="1"/>
  <phoneticPr fontId="15" type="noConversion"/>
  <pageMargins left="0.75" right="0.75" top="1" bottom="1" header="0.5" footer="0.5"/>
  <pageSetup paperSize="9" orientation="portrait" horizontalDpi="4294967293"/>
  <headerFooter alignWithMargins="0">
    <oddHeader>&amp;L&amp;A&amp;R&amp;F</oddHeader>
    <oddFooter>&amp;CPagina &amp;P&amp;R&amp;D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1"/>
  <sheetViews>
    <sheetView workbookViewId="0">
      <selection activeCell="G15" sqref="G15"/>
    </sheetView>
  </sheetViews>
  <sheetFormatPr baseColWidth="10" defaultColWidth="9.1640625" defaultRowHeight="13" x14ac:dyDescent="0.15"/>
  <cols>
    <col min="1" max="1" width="9.1640625" style="1"/>
    <col min="2" max="2" width="25.1640625" style="1" customWidth="1"/>
    <col min="3" max="6" width="10.6640625" style="1" customWidth="1"/>
    <col min="7" max="16384" width="9.1640625" style="1"/>
  </cols>
  <sheetData>
    <row r="1" spans="1:7" ht="18" x14ac:dyDescent="0.2">
      <c r="A1" s="141" t="s">
        <v>333</v>
      </c>
      <c r="G1" s="714" t="str">
        <f>MID([1]Persona!$D$12,1,60)</f>
        <v/>
      </c>
    </row>
    <row r="2" spans="1:7" ht="7.5" customHeight="1" x14ac:dyDescent="0.15"/>
    <row r="3" spans="1:7" x14ac:dyDescent="0.15">
      <c r="A3" s="13" t="s">
        <v>334</v>
      </c>
      <c r="B3" s="146"/>
      <c r="C3" s="146"/>
      <c r="D3" s="146"/>
      <c r="E3" s="147"/>
    </row>
    <row r="4" spans="1:7" ht="14" thickBot="1" x14ac:dyDescent="0.2">
      <c r="A4" s="142"/>
      <c r="B4" s="33" t="s">
        <v>335</v>
      </c>
      <c r="C4" s="144"/>
      <c r="D4" s="33" t="s">
        <v>147</v>
      </c>
      <c r="E4" s="145" t="s">
        <v>27</v>
      </c>
    </row>
    <row r="5" spans="1:7" x14ac:dyDescent="0.15">
      <c r="A5" s="5"/>
      <c r="B5" s="84" t="s">
        <v>336</v>
      </c>
      <c r="C5" s="149"/>
      <c r="D5" s="84" t="s">
        <v>24</v>
      </c>
      <c r="E5" s="170">
        <f>Circolante!D7</f>
        <v>0</v>
      </c>
    </row>
    <row r="6" spans="1:7" x14ac:dyDescent="0.15">
      <c r="A6" s="5"/>
      <c r="B6" s="84" t="s">
        <v>337</v>
      </c>
      <c r="C6" s="149"/>
      <c r="D6" s="84" t="s">
        <v>24</v>
      </c>
      <c r="E6" s="170">
        <f>Circolante!D14</f>
        <v>0</v>
      </c>
    </row>
    <row r="7" spans="1:7" x14ac:dyDescent="0.15">
      <c r="A7" s="5"/>
      <c r="B7" s="84" t="s">
        <v>30</v>
      </c>
      <c r="C7" s="149"/>
      <c r="D7" s="84" t="s">
        <v>24</v>
      </c>
      <c r="E7" s="170">
        <f>Circolante!D21</f>
        <v>0</v>
      </c>
    </row>
    <row r="8" spans="1:7" x14ac:dyDescent="0.15">
      <c r="A8" s="5"/>
      <c r="B8" s="84" t="s">
        <v>338</v>
      </c>
      <c r="C8" s="149"/>
      <c r="D8" s="84" t="s">
        <v>339</v>
      </c>
      <c r="E8" s="171">
        <f>Circolante!C28</f>
        <v>0</v>
      </c>
    </row>
    <row r="9" spans="1:7" x14ac:dyDescent="0.15">
      <c r="A9" s="5"/>
      <c r="B9" s="84" t="s">
        <v>340</v>
      </c>
      <c r="C9" s="149"/>
      <c r="D9" s="84" t="s">
        <v>24</v>
      </c>
      <c r="E9" s="170">
        <f>Circolante!D29</f>
        <v>0</v>
      </c>
    </row>
    <row r="10" spans="1:7" x14ac:dyDescent="0.15">
      <c r="A10" s="5"/>
      <c r="B10" s="84" t="s">
        <v>341</v>
      </c>
      <c r="C10" s="149"/>
      <c r="D10" s="84" t="s">
        <v>24</v>
      </c>
      <c r="E10" s="170">
        <f>Circolante!D30</f>
        <v>0</v>
      </c>
    </row>
    <row r="11" spans="1:7" x14ac:dyDescent="0.15">
      <c r="A11" s="13" t="s">
        <v>342</v>
      </c>
      <c r="B11" s="27"/>
      <c r="C11" s="27"/>
      <c r="D11" s="27"/>
      <c r="E11" s="686"/>
    </row>
    <row r="12" spans="1:7" x14ac:dyDescent="0.15">
      <c r="A12" s="711"/>
      <c r="B12" s="84" t="s">
        <v>515</v>
      </c>
      <c r="C12" s="149"/>
      <c r="D12" s="84" t="s">
        <v>499</v>
      </c>
      <c r="E12" s="177">
        <f>Prezzi!O26</f>
        <v>1</v>
      </c>
    </row>
    <row r="13" spans="1:7" x14ac:dyDescent="0.15">
      <c r="A13" s="5"/>
      <c r="B13" s="84" t="s">
        <v>80</v>
      </c>
      <c r="C13" s="149"/>
      <c r="D13" s="84" t="s">
        <v>339</v>
      </c>
      <c r="E13" s="172">
        <f>Costi!D19</f>
        <v>8.5000000000000006E-2</v>
      </c>
    </row>
    <row r="14" spans="1:7" x14ac:dyDescent="0.15">
      <c r="A14" s="5"/>
      <c r="B14" s="84" t="s">
        <v>81</v>
      </c>
      <c r="C14" s="149"/>
      <c r="D14" s="84" t="s">
        <v>339</v>
      </c>
      <c r="E14" s="172">
        <f>Costi!D20</f>
        <v>0</v>
      </c>
    </row>
    <row r="15" spans="1:7" x14ac:dyDescent="0.15">
      <c r="A15" s="5"/>
      <c r="B15" s="84" t="s">
        <v>82</v>
      </c>
      <c r="C15" s="149"/>
      <c r="D15" s="84" t="s">
        <v>339</v>
      </c>
      <c r="E15" s="172">
        <f>Costi!D21</f>
        <v>0</v>
      </c>
    </row>
    <row r="16" spans="1:7" x14ac:dyDescent="0.15">
      <c r="A16" s="5"/>
      <c r="B16" s="84" t="s">
        <v>83</v>
      </c>
      <c r="C16" s="149"/>
      <c r="D16" s="84" t="s">
        <v>339</v>
      </c>
      <c r="E16" s="172">
        <f>Costi!D22</f>
        <v>0</v>
      </c>
    </row>
    <row r="17" spans="1:6" x14ac:dyDescent="0.15">
      <c r="A17" s="5"/>
      <c r="B17" s="84" t="s">
        <v>84</v>
      </c>
      <c r="C17" s="149"/>
      <c r="D17" s="84" t="s">
        <v>339</v>
      </c>
      <c r="E17" s="172">
        <f>Costi!D23</f>
        <v>0.01</v>
      </c>
    </row>
    <row r="18" spans="1:6" x14ac:dyDescent="0.15">
      <c r="A18" s="5"/>
      <c r="B18" s="84" t="s">
        <v>85</v>
      </c>
      <c r="C18" s="149"/>
      <c r="D18" s="84" t="s">
        <v>339</v>
      </c>
      <c r="E18" s="172">
        <f>Costi!D24</f>
        <v>0.02</v>
      </c>
    </row>
    <row r="19" spans="1:6" x14ac:dyDescent="0.15">
      <c r="A19" s="5"/>
      <c r="B19" s="84" t="s">
        <v>86</v>
      </c>
      <c r="C19" s="149"/>
      <c r="D19" s="84" t="s">
        <v>339</v>
      </c>
      <c r="E19" s="172">
        <f>Costi!D25</f>
        <v>0</v>
      </c>
    </row>
    <row r="20" spans="1:6" x14ac:dyDescent="0.15">
      <c r="A20" s="5"/>
      <c r="B20" s="84" t="s">
        <v>343</v>
      </c>
      <c r="C20" s="149"/>
      <c r="D20" s="84" t="s">
        <v>344</v>
      </c>
      <c r="E20" s="172" t="str">
        <f>Costi!D26</f>
        <v>si</v>
      </c>
    </row>
    <row r="21" spans="1:6" x14ac:dyDescent="0.15">
      <c r="A21" s="13" t="s">
        <v>132</v>
      </c>
      <c r="B21" s="10"/>
      <c r="C21" s="27"/>
      <c r="D21" s="27"/>
      <c r="E21" s="686"/>
    </row>
    <row r="22" spans="1:6" x14ac:dyDescent="0.15">
      <c r="A22" s="7"/>
      <c r="B22" s="153" t="s">
        <v>472</v>
      </c>
      <c r="C22" s="154"/>
      <c r="D22" s="99" t="s">
        <v>339</v>
      </c>
      <c r="E22" s="226">
        <f>Prezzi!C35</f>
        <v>0.3</v>
      </c>
    </row>
    <row r="23" spans="1:6" ht="7.5" customHeight="1" x14ac:dyDescent="0.15">
      <c r="A23" s="117"/>
      <c r="B23" s="151"/>
      <c r="C23" s="117"/>
      <c r="D23" s="117"/>
      <c r="E23" s="152"/>
      <c r="F23" s="117"/>
    </row>
    <row r="24" spans="1:6" x14ac:dyDescent="0.15">
      <c r="A24" s="13" t="s">
        <v>237</v>
      </c>
      <c r="B24" s="146"/>
      <c r="C24" s="146"/>
      <c r="D24" s="146"/>
      <c r="E24" s="147"/>
    </row>
    <row r="25" spans="1:6" ht="14" thickBot="1" x14ac:dyDescent="0.2">
      <c r="A25" s="68"/>
      <c r="B25" s="33" t="s">
        <v>345</v>
      </c>
      <c r="C25" s="33" t="s">
        <v>346</v>
      </c>
      <c r="D25" s="33" t="s">
        <v>208</v>
      </c>
      <c r="E25" s="145" t="s">
        <v>143</v>
      </c>
    </row>
    <row r="26" spans="1:6" x14ac:dyDescent="0.15">
      <c r="A26" s="5"/>
      <c r="B26" s="84" t="str">
        <f>Prezzi!B4</f>
        <v/>
      </c>
      <c r="C26" s="175" t="str">
        <f>Prezzi!H4</f>
        <v/>
      </c>
      <c r="D26" s="173" t="str">
        <f>Prezzi!P4</f>
        <v/>
      </c>
      <c r="E26" s="187" t="str">
        <f>Prezzi!I4</f>
        <v/>
      </c>
    </row>
    <row r="27" spans="1:6" x14ac:dyDescent="0.15">
      <c r="A27" s="5"/>
      <c r="B27" s="84" t="str">
        <f>Prezzi!B5</f>
        <v/>
      </c>
      <c r="C27" s="175" t="str">
        <f>Prezzi!H5</f>
        <v/>
      </c>
      <c r="D27" s="173" t="str">
        <f>Prezzi!P5</f>
        <v/>
      </c>
      <c r="E27" s="187" t="str">
        <f>Prezzi!I5</f>
        <v/>
      </c>
    </row>
    <row r="28" spans="1:6" x14ac:dyDescent="0.15">
      <c r="A28" s="5"/>
      <c r="B28" s="84" t="str">
        <f>Prezzi!B6</f>
        <v/>
      </c>
      <c r="C28" s="175" t="str">
        <f>Prezzi!H6</f>
        <v/>
      </c>
      <c r="D28" s="173" t="str">
        <f>Prezzi!P6</f>
        <v/>
      </c>
      <c r="E28" s="187" t="str">
        <f>Prezzi!I6</f>
        <v/>
      </c>
    </row>
    <row r="29" spans="1:6" x14ac:dyDescent="0.15">
      <c r="A29" s="5"/>
      <c r="B29" s="84" t="str">
        <f>Prezzi!B7</f>
        <v/>
      </c>
      <c r="C29" s="175" t="str">
        <f>Prezzi!H7</f>
        <v/>
      </c>
      <c r="D29" s="173" t="str">
        <f>Prezzi!P7</f>
        <v/>
      </c>
      <c r="E29" s="187" t="str">
        <f>Prezzi!I7</f>
        <v/>
      </c>
    </row>
    <row r="30" spans="1:6" x14ac:dyDescent="0.15">
      <c r="A30" s="5"/>
      <c r="B30" s="84" t="str">
        <f>Prezzi!B8</f>
        <v/>
      </c>
      <c r="C30" s="175" t="str">
        <f>Prezzi!H8</f>
        <v/>
      </c>
      <c r="D30" s="173" t="str">
        <f>Prezzi!P8</f>
        <v/>
      </c>
      <c r="E30" s="187" t="str">
        <f>Prezzi!I8</f>
        <v/>
      </c>
    </row>
    <row r="31" spans="1:6" x14ac:dyDescent="0.15">
      <c r="A31" s="5"/>
      <c r="B31" s="84" t="str">
        <f>Prezzi!B9</f>
        <v/>
      </c>
      <c r="C31" s="175" t="str">
        <f>Prezzi!H9</f>
        <v/>
      </c>
      <c r="D31" s="173" t="str">
        <f>Prezzi!P9</f>
        <v/>
      </c>
      <c r="E31" s="187" t="str">
        <f>Prezzi!I9</f>
        <v/>
      </c>
    </row>
    <row r="32" spans="1:6" x14ac:dyDescent="0.15">
      <c r="A32" s="5"/>
      <c r="B32" s="84" t="str">
        <f>Prezzi!B10</f>
        <v/>
      </c>
      <c r="C32" s="175" t="str">
        <f>Prezzi!H10</f>
        <v/>
      </c>
      <c r="D32" s="173" t="str">
        <f>Prezzi!P10</f>
        <v/>
      </c>
      <c r="E32" s="187" t="str">
        <f>Prezzi!I10</f>
        <v/>
      </c>
    </row>
    <row r="33" spans="1:6" x14ac:dyDescent="0.15">
      <c r="A33" s="5"/>
      <c r="B33" s="84" t="str">
        <f>Prezzi!B11</f>
        <v/>
      </c>
      <c r="C33" s="175" t="str">
        <f>Prezzi!H11</f>
        <v/>
      </c>
      <c r="D33" s="173" t="str">
        <f>Prezzi!P11</f>
        <v/>
      </c>
      <c r="E33" s="187" t="str">
        <f>Prezzi!I11</f>
        <v/>
      </c>
    </row>
    <row r="34" spans="1:6" x14ac:dyDescent="0.15">
      <c r="A34" s="5"/>
      <c r="B34" s="84" t="str">
        <f>Prezzi!B12</f>
        <v/>
      </c>
      <c r="C34" s="175" t="str">
        <f>Prezzi!H12</f>
        <v/>
      </c>
      <c r="D34" s="173" t="str">
        <f>Prezzi!P12</f>
        <v/>
      </c>
      <c r="E34" s="187" t="str">
        <f>Prezzi!I12</f>
        <v/>
      </c>
    </row>
    <row r="35" spans="1:6" x14ac:dyDescent="0.15">
      <c r="A35" s="5"/>
      <c r="B35" s="84" t="str">
        <f>Prezzi!B13</f>
        <v/>
      </c>
      <c r="C35" s="175" t="str">
        <f>Prezzi!H13</f>
        <v/>
      </c>
      <c r="D35" s="173" t="str">
        <f>Prezzi!P13</f>
        <v/>
      </c>
      <c r="E35" s="187" t="str">
        <f>Prezzi!I13</f>
        <v/>
      </c>
    </row>
    <row r="36" spans="1:6" x14ac:dyDescent="0.15">
      <c r="A36" s="5"/>
      <c r="B36" s="84" t="str">
        <f>Prezzi!B14</f>
        <v/>
      </c>
      <c r="C36" s="175" t="str">
        <f>Prezzi!H14</f>
        <v/>
      </c>
      <c r="D36" s="173" t="str">
        <f>Prezzi!P14</f>
        <v/>
      </c>
      <c r="E36" s="187" t="str">
        <f>Prezzi!I14</f>
        <v/>
      </c>
    </row>
    <row r="37" spans="1:6" x14ac:dyDescent="0.15">
      <c r="A37" s="5"/>
      <c r="B37" s="84" t="str">
        <f>Prezzi!B15</f>
        <v/>
      </c>
      <c r="C37" s="175" t="str">
        <f>Prezzi!H15</f>
        <v/>
      </c>
      <c r="D37" s="173" t="str">
        <f>Prezzi!P15</f>
        <v/>
      </c>
      <c r="E37" s="187" t="str">
        <f>Prezzi!I15</f>
        <v/>
      </c>
    </row>
    <row r="38" spans="1:6" x14ac:dyDescent="0.15">
      <c r="A38" s="5"/>
      <c r="B38" s="84" t="str">
        <f>Prezzi!B16</f>
        <v/>
      </c>
      <c r="C38" s="175" t="str">
        <f>Prezzi!H16</f>
        <v/>
      </c>
      <c r="D38" s="173" t="str">
        <f>Prezzi!P16</f>
        <v/>
      </c>
      <c r="E38" s="187" t="str">
        <f>Prezzi!I16</f>
        <v/>
      </c>
    </row>
    <row r="39" spans="1:6" x14ac:dyDescent="0.15">
      <c r="A39" s="5"/>
      <c r="B39" s="84" t="str">
        <f>Prezzi!B17</f>
        <v/>
      </c>
      <c r="C39" s="175" t="str">
        <f>Prezzi!H17</f>
        <v/>
      </c>
      <c r="D39" s="173" t="str">
        <f>Prezzi!P17</f>
        <v/>
      </c>
      <c r="E39" s="187" t="str">
        <f>Prezzi!I17</f>
        <v/>
      </c>
    </row>
    <row r="40" spans="1:6" x14ac:dyDescent="0.15">
      <c r="A40" s="7"/>
      <c r="B40" s="100" t="str">
        <f>Prezzi!B18</f>
        <v/>
      </c>
      <c r="C40" s="176" t="str">
        <f>Prezzi!H18</f>
        <v/>
      </c>
      <c r="D40" s="174" t="str">
        <f>Prezzi!P18</f>
        <v/>
      </c>
      <c r="E40" s="188" t="str">
        <f>Prezzi!I18</f>
        <v/>
      </c>
    </row>
    <row r="41" spans="1:6" ht="7.5" customHeight="1" x14ac:dyDescent="0.15">
      <c r="A41" s="6"/>
      <c r="B41" s="117"/>
      <c r="C41" s="155"/>
      <c r="D41" s="156"/>
      <c r="E41" s="155"/>
      <c r="F41" s="6"/>
    </row>
    <row r="42" spans="1:6" x14ac:dyDescent="0.15">
      <c r="A42" s="13" t="s">
        <v>347</v>
      </c>
      <c r="B42" s="146"/>
      <c r="C42" s="146"/>
      <c r="D42" s="146"/>
      <c r="E42" s="147"/>
    </row>
    <row r="43" spans="1:6" ht="14" thickBot="1" x14ac:dyDescent="0.2">
      <c r="A43" s="142"/>
      <c r="B43" s="33" t="s">
        <v>190</v>
      </c>
      <c r="C43" s="144"/>
      <c r="D43" s="33" t="s">
        <v>147</v>
      </c>
      <c r="E43" s="44" t="s">
        <v>27</v>
      </c>
    </row>
    <row r="44" spans="1:6" x14ac:dyDescent="0.15">
      <c r="A44" s="5"/>
      <c r="B44" s="84" t="s">
        <v>185</v>
      </c>
      <c r="C44" s="149"/>
      <c r="D44" s="84" t="s">
        <v>348</v>
      </c>
      <c r="E44" s="170">
        <f>Prezzi!N28</f>
        <v>231</v>
      </c>
    </row>
    <row r="45" spans="1:6" x14ac:dyDescent="0.15">
      <c r="A45" s="5"/>
      <c r="B45" s="84" t="s">
        <v>349</v>
      </c>
      <c r="C45" s="149"/>
      <c r="D45" s="84" t="s">
        <v>350</v>
      </c>
      <c r="E45" s="170">
        <f>Prezzi!O24</f>
        <v>42</v>
      </c>
    </row>
    <row r="46" spans="1:6" x14ac:dyDescent="0.15">
      <c r="A46" s="5"/>
      <c r="B46" s="84" t="s">
        <v>351</v>
      </c>
      <c r="C46" s="149"/>
      <c r="D46" s="84" t="s">
        <v>352</v>
      </c>
      <c r="E46" s="177">
        <f>Prezzi!O23</f>
        <v>5.5</v>
      </c>
    </row>
    <row r="47" spans="1:6" x14ac:dyDescent="0.15">
      <c r="A47" s="5"/>
      <c r="B47" s="84" t="s">
        <v>353</v>
      </c>
      <c r="C47" s="149"/>
      <c r="D47" s="84" t="s">
        <v>354</v>
      </c>
      <c r="E47" s="177">
        <f>Prezzi!O25</f>
        <v>12</v>
      </c>
    </row>
    <row r="48" spans="1:6" x14ac:dyDescent="0.15">
      <c r="A48" s="5"/>
      <c r="B48" s="84" t="s">
        <v>355</v>
      </c>
      <c r="C48" s="149"/>
      <c r="D48" s="84" t="s">
        <v>172</v>
      </c>
      <c r="E48" s="177">
        <f>Prezzi!O22</f>
        <v>8</v>
      </c>
    </row>
    <row r="49" spans="1:7" x14ac:dyDescent="0.15">
      <c r="A49" s="7"/>
      <c r="B49" s="99" t="s">
        <v>356</v>
      </c>
      <c r="C49" s="154"/>
      <c r="D49" s="99" t="s">
        <v>186</v>
      </c>
      <c r="E49" s="595">
        <f>Prezzi!O28</f>
        <v>1848</v>
      </c>
    </row>
    <row r="50" spans="1:7" ht="7.5" customHeight="1" x14ac:dyDescent="0.15">
      <c r="A50" s="5"/>
      <c r="B50" s="117"/>
      <c r="C50" s="117"/>
      <c r="D50" s="117"/>
      <c r="E50" s="117"/>
    </row>
    <row r="51" spans="1:7" x14ac:dyDescent="0.15">
      <c r="A51" s="13" t="s">
        <v>357</v>
      </c>
      <c r="B51" s="146"/>
      <c r="C51" s="146"/>
      <c r="D51" s="146"/>
      <c r="E51" s="146"/>
      <c r="F51" s="147"/>
    </row>
    <row r="52" spans="1:7" ht="14" thickBot="1" x14ac:dyDescent="0.2">
      <c r="A52" s="5"/>
      <c r="B52" s="33" t="s">
        <v>190</v>
      </c>
      <c r="C52" s="144"/>
      <c r="D52" s="144" t="s">
        <v>358</v>
      </c>
      <c r="E52" s="144" t="s">
        <v>37</v>
      </c>
      <c r="F52" s="148" t="s">
        <v>196</v>
      </c>
    </row>
    <row r="53" spans="1:7" x14ac:dyDescent="0.15">
      <c r="A53" s="5"/>
      <c r="B53" s="84" t="s">
        <v>359</v>
      </c>
      <c r="C53" s="149"/>
      <c r="D53" s="185">
        <f>Prezzi!J23</f>
        <v>0</v>
      </c>
      <c r="E53" s="185">
        <f>Prezzi!K23</f>
        <v>0</v>
      </c>
      <c r="F53" s="186">
        <f>Prezzi!L23</f>
        <v>0</v>
      </c>
    </row>
    <row r="54" spans="1:7" x14ac:dyDescent="0.15">
      <c r="A54" s="5"/>
      <c r="B54" s="84" t="s">
        <v>360</v>
      </c>
      <c r="C54" s="149"/>
      <c r="D54" s="178">
        <f>Prezzi!J24</f>
        <v>0</v>
      </c>
      <c r="E54" s="178">
        <f>Prezzi!K26</f>
        <v>0</v>
      </c>
      <c r="F54" s="179">
        <f>Prezzi!L26</f>
        <v>0</v>
      </c>
    </row>
    <row r="55" spans="1:7" x14ac:dyDescent="0.15">
      <c r="A55" s="5"/>
      <c r="B55" s="13"/>
      <c r="C55" s="19" t="s">
        <v>361</v>
      </c>
      <c r="D55" s="19" t="s">
        <v>362</v>
      </c>
      <c r="E55" s="19" t="s">
        <v>362</v>
      </c>
      <c r="F55" s="617" t="s">
        <v>362</v>
      </c>
    </row>
    <row r="56" spans="1:7" x14ac:dyDescent="0.15">
      <c r="A56" s="5"/>
      <c r="B56" s="84" t="s">
        <v>363</v>
      </c>
      <c r="C56" s="180" t="str">
        <f>Prezzi!A31</f>
        <v>no</v>
      </c>
      <c r="D56" s="181">
        <f>Prezzi!E31</f>
        <v>0</v>
      </c>
      <c r="E56" s="181">
        <f>D56</f>
        <v>0</v>
      </c>
      <c r="F56" s="182">
        <f>D56</f>
        <v>0</v>
      </c>
    </row>
    <row r="57" spans="1:7" x14ac:dyDescent="0.15">
      <c r="A57" s="5"/>
      <c r="B57" s="84" t="s">
        <v>364</v>
      </c>
      <c r="C57" s="183"/>
      <c r="D57" s="181">
        <f>Prezzi!F32</f>
        <v>0</v>
      </c>
      <c r="E57" s="181">
        <f>Prezzi!K33</f>
        <v>0</v>
      </c>
      <c r="F57" s="182">
        <f>Prezzi!L33</f>
        <v>0</v>
      </c>
    </row>
    <row r="58" spans="1:7" x14ac:dyDescent="0.15">
      <c r="A58" s="5"/>
      <c r="B58" s="10"/>
      <c r="C58" s="13" t="s">
        <v>470</v>
      </c>
      <c r="D58" s="10"/>
      <c r="E58" s="13" t="s">
        <v>468</v>
      </c>
      <c r="F58" s="685" t="s">
        <v>471</v>
      </c>
    </row>
    <row r="59" spans="1:7" x14ac:dyDescent="0.15">
      <c r="A59" s="7"/>
      <c r="B59" s="99" t="s">
        <v>500</v>
      </c>
      <c r="C59" s="184">
        <f>Prezzi!U52</f>
        <v>0</v>
      </c>
      <c r="D59" s="150" t="s">
        <v>361</v>
      </c>
      <c r="E59" s="594">
        <f>Prezzi!T52</f>
        <v>0</v>
      </c>
      <c r="F59" s="593">
        <f>Prezzi!V52</f>
        <v>0</v>
      </c>
    </row>
    <row r="61" spans="1:7" x14ac:dyDescent="0.15">
      <c r="G61" s="718" t="s">
        <v>504</v>
      </c>
    </row>
  </sheetData>
  <sheetProtection password="DB4F" sheet="1" objects="1" scenarios="1" selectLockedCells="1"/>
  <phoneticPr fontId="15" type="noConversion"/>
  <pageMargins left="0.75" right="0.75" top="0.64" bottom="0.71" header="0.43" footer="0.5"/>
  <pageSetup paperSize="9" orientation="portrait" horizontalDpi="4294967293"/>
  <headerFooter alignWithMargins="0">
    <oddHeader>&amp;L&amp;A&amp;R&amp;F</oddHeader>
    <oddFooter>&amp;CPagina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topLeftCell="A31" zoomScaleNormal="100" workbookViewId="0">
      <selection activeCell="B34" sqref="B34"/>
    </sheetView>
  </sheetViews>
  <sheetFormatPr baseColWidth="10" defaultColWidth="9.1640625" defaultRowHeight="13" x14ac:dyDescent="0.15"/>
  <cols>
    <col min="1" max="1" width="4" style="1" customWidth="1"/>
    <col min="2" max="2" width="64.5" style="1" customWidth="1"/>
    <col min="3" max="3" width="18.5" style="1" customWidth="1"/>
    <col min="4" max="4" width="13.6640625" style="1" customWidth="1"/>
    <col min="5" max="16384" width="9.1640625" style="1"/>
  </cols>
  <sheetData>
    <row r="1" spans="1:3" ht="16" x14ac:dyDescent="0.2">
      <c r="A1" s="3" t="s">
        <v>11</v>
      </c>
      <c r="C1" s="714" t="str">
        <f>MID([1]Persona!$D$12,1,35)</f>
        <v/>
      </c>
    </row>
    <row r="2" spans="1:3" ht="7.5" customHeight="1" x14ac:dyDescent="0.15"/>
    <row r="3" spans="1:3" x14ac:dyDescent="0.15">
      <c r="A3" s="4">
        <v>1</v>
      </c>
      <c r="B3" s="10" t="s">
        <v>12</v>
      </c>
      <c r="C3" s="11" t="s">
        <v>1</v>
      </c>
    </row>
    <row r="4" spans="1:3" x14ac:dyDescent="0.15">
      <c r="A4" s="5"/>
      <c r="B4" s="282"/>
      <c r="C4" s="283"/>
    </row>
    <row r="5" spans="1:3" x14ac:dyDescent="0.15">
      <c r="A5" s="5"/>
      <c r="B5" s="282"/>
      <c r="C5" s="283"/>
    </row>
    <row r="6" spans="1:3" x14ac:dyDescent="0.15">
      <c r="A6" s="5"/>
      <c r="B6" s="282"/>
      <c r="C6" s="283"/>
    </row>
    <row r="7" spans="1:3" ht="14" thickBot="1" x14ac:dyDescent="0.2">
      <c r="A7" s="5"/>
      <c r="B7" s="284"/>
      <c r="C7" s="285"/>
    </row>
    <row r="8" spans="1:3" x14ac:dyDescent="0.15">
      <c r="A8" s="7">
        <v>10</v>
      </c>
      <c r="B8" s="9" t="s">
        <v>2</v>
      </c>
      <c r="C8" s="54">
        <f>SUM(C4:C7)</f>
        <v>0</v>
      </c>
    </row>
    <row r="9" spans="1:3" ht="7.5" customHeight="1" x14ac:dyDescent="0.15">
      <c r="C9" s="2"/>
    </row>
    <row r="10" spans="1:3" x14ac:dyDescent="0.15">
      <c r="A10" s="4">
        <v>2</v>
      </c>
      <c r="B10" s="10" t="s">
        <v>13</v>
      </c>
      <c r="C10" s="11" t="s">
        <v>1</v>
      </c>
    </row>
    <row r="11" spans="1:3" x14ac:dyDescent="0.15">
      <c r="A11" s="5"/>
      <c r="B11" s="282"/>
      <c r="C11" s="283"/>
    </row>
    <row r="12" spans="1:3" x14ac:dyDescent="0.15">
      <c r="A12" s="5"/>
      <c r="B12" s="282"/>
      <c r="C12" s="283"/>
    </row>
    <row r="13" spans="1:3" x14ac:dyDescent="0.15">
      <c r="A13" s="5"/>
      <c r="B13" s="282"/>
      <c r="C13" s="283"/>
    </row>
    <row r="14" spans="1:3" ht="14" thickBot="1" x14ac:dyDescent="0.2">
      <c r="A14" s="5"/>
      <c r="B14" s="284"/>
      <c r="C14" s="285"/>
    </row>
    <row r="15" spans="1:3" x14ac:dyDescent="0.15">
      <c r="A15" s="7">
        <v>20</v>
      </c>
      <c r="B15" s="9" t="s">
        <v>2</v>
      </c>
      <c r="C15" s="54">
        <f>SUM(C10:C14)</f>
        <v>0</v>
      </c>
    </row>
    <row r="16" spans="1:3" ht="7.5" customHeight="1" x14ac:dyDescent="0.15">
      <c r="C16" s="2"/>
    </row>
    <row r="17" spans="1:3" x14ac:dyDescent="0.15">
      <c r="A17" s="4">
        <v>3</v>
      </c>
      <c r="B17" s="10" t="s">
        <v>14</v>
      </c>
      <c r="C17" s="11" t="s">
        <v>1</v>
      </c>
    </row>
    <row r="18" spans="1:3" x14ac:dyDescent="0.15">
      <c r="A18" s="5"/>
      <c r="B18" s="282"/>
      <c r="C18" s="283"/>
    </row>
    <row r="19" spans="1:3" x14ac:dyDescent="0.15">
      <c r="A19" s="5"/>
      <c r="B19" s="282"/>
      <c r="C19" s="283"/>
    </row>
    <row r="20" spans="1:3" x14ac:dyDescent="0.15">
      <c r="A20" s="5"/>
      <c r="B20" s="282"/>
      <c r="C20" s="283"/>
    </row>
    <row r="21" spans="1:3" ht="14" thickBot="1" x14ac:dyDescent="0.2">
      <c r="A21" s="5"/>
      <c r="B21" s="284"/>
      <c r="C21" s="285"/>
    </row>
    <row r="22" spans="1:3" x14ac:dyDescent="0.15">
      <c r="A22" s="7">
        <v>30</v>
      </c>
      <c r="B22" s="9" t="s">
        <v>2</v>
      </c>
      <c r="C22" s="54">
        <f>SUM(C17:C21)</f>
        <v>0</v>
      </c>
    </row>
    <row r="23" spans="1:3" ht="7.5" customHeight="1" x14ac:dyDescent="0.15">
      <c r="C23" s="2"/>
    </row>
    <row r="24" spans="1:3" x14ac:dyDescent="0.15">
      <c r="A24" s="4">
        <v>4</v>
      </c>
      <c r="B24" s="10" t="s">
        <v>15</v>
      </c>
      <c r="C24" s="11" t="s">
        <v>1</v>
      </c>
    </row>
    <row r="25" spans="1:3" x14ac:dyDescent="0.15">
      <c r="A25" s="5"/>
      <c r="B25" s="282"/>
      <c r="C25" s="283"/>
    </row>
    <row r="26" spans="1:3" x14ac:dyDescent="0.15">
      <c r="A26" s="5"/>
      <c r="B26" s="282"/>
      <c r="C26" s="283"/>
    </row>
    <row r="27" spans="1:3" x14ac:dyDescent="0.15">
      <c r="A27" s="5"/>
      <c r="B27" s="282"/>
      <c r="C27" s="283"/>
    </row>
    <row r="28" spans="1:3" ht="14" thickBot="1" x14ac:dyDescent="0.2">
      <c r="A28" s="5"/>
      <c r="B28" s="284"/>
      <c r="C28" s="285"/>
    </row>
    <row r="29" spans="1:3" x14ac:dyDescent="0.15">
      <c r="A29" s="7">
        <v>40</v>
      </c>
      <c r="B29" s="9" t="s">
        <v>2</v>
      </c>
      <c r="C29" s="54">
        <f>SUM(C24:C28)</f>
        <v>0</v>
      </c>
    </row>
    <row r="30" spans="1:3" ht="7.5" customHeight="1" x14ac:dyDescent="0.15">
      <c r="C30" s="2"/>
    </row>
    <row r="31" spans="1:3" x14ac:dyDescent="0.15">
      <c r="A31" s="4">
        <v>5</v>
      </c>
      <c r="B31" s="10" t="s">
        <v>16</v>
      </c>
      <c r="C31" s="11" t="s">
        <v>1</v>
      </c>
    </row>
    <row r="32" spans="1:3" x14ac:dyDescent="0.15">
      <c r="A32" s="5"/>
      <c r="B32" s="282"/>
      <c r="C32" s="283"/>
    </row>
    <row r="33" spans="1:3" x14ac:dyDescent="0.15">
      <c r="A33" s="5"/>
      <c r="B33" s="282"/>
      <c r="C33" s="283"/>
    </row>
    <row r="34" spans="1:3" x14ac:dyDescent="0.15">
      <c r="A34" s="5"/>
      <c r="B34" s="282"/>
      <c r="C34" s="283"/>
    </row>
    <row r="35" spans="1:3" ht="14" thickBot="1" x14ac:dyDescent="0.2">
      <c r="A35" s="5"/>
      <c r="B35" s="284"/>
      <c r="C35" s="285"/>
    </row>
    <row r="36" spans="1:3" x14ac:dyDescent="0.15">
      <c r="A36" s="7">
        <v>50</v>
      </c>
      <c r="B36" s="9" t="s">
        <v>2</v>
      </c>
      <c r="C36" s="54">
        <f>SUM(C31:C35)</f>
        <v>0</v>
      </c>
    </row>
    <row r="37" spans="1:3" ht="7.5" customHeight="1" x14ac:dyDescent="0.15">
      <c r="C37" s="2"/>
    </row>
    <row r="38" spans="1:3" x14ac:dyDescent="0.15">
      <c r="A38" s="4">
        <v>6</v>
      </c>
      <c r="B38" s="10" t="s">
        <v>17</v>
      </c>
      <c r="C38" s="11" t="s">
        <v>1</v>
      </c>
    </row>
    <row r="39" spans="1:3" x14ac:dyDescent="0.15">
      <c r="A39" s="5"/>
      <c r="B39" s="282"/>
      <c r="C39" s="283"/>
    </row>
    <row r="40" spans="1:3" x14ac:dyDescent="0.15">
      <c r="A40" s="5"/>
      <c r="B40" s="282"/>
      <c r="C40" s="283"/>
    </row>
    <row r="41" spans="1:3" x14ac:dyDescent="0.15">
      <c r="A41" s="5"/>
      <c r="B41" s="282"/>
      <c r="C41" s="283"/>
    </row>
    <row r="42" spans="1:3" ht="14" thickBot="1" x14ac:dyDescent="0.2">
      <c r="A42" s="5"/>
      <c r="B42" s="284"/>
      <c r="C42" s="285"/>
    </row>
    <row r="43" spans="1:3" x14ac:dyDescent="0.15">
      <c r="A43" s="7">
        <v>60</v>
      </c>
      <c r="B43" s="9" t="s">
        <v>2</v>
      </c>
      <c r="C43" s="54">
        <f>SUM(C38:C42)</f>
        <v>0</v>
      </c>
    </row>
    <row r="44" spans="1:3" ht="7.5" customHeight="1" x14ac:dyDescent="0.15">
      <c r="C44" s="2"/>
    </row>
    <row r="45" spans="1:3" x14ac:dyDescent="0.15">
      <c r="A45" s="4">
        <v>7</v>
      </c>
      <c r="B45" s="10" t="s">
        <v>18</v>
      </c>
      <c r="C45" s="11" t="s">
        <v>1</v>
      </c>
    </row>
    <row r="46" spans="1:3" x14ac:dyDescent="0.15">
      <c r="A46" s="5"/>
      <c r="B46" s="282"/>
      <c r="C46" s="283"/>
    </row>
    <row r="47" spans="1:3" x14ac:dyDescent="0.15">
      <c r="A47" s="5"/>
      <c r="B47" s="282"/>
      <c r="C47" s="283"/>
    </row>
    <row r="48" spans="1:3" x14ac:dyDescent="0.15">
      <c r="A48" s="5"/>
      <c r="B48" s="282"/>
      <c r="C48" s="283"/>
    </row>
    <row r="49" spans="1:3" ht="14" thickBot="1" x14ac:dyDescent="0.2">
      <c r="A49" s="5"/>
      <c r="B49" s="284"/>
      <c r="C49" s="285"/>
    </row>
    <row r="50" spans="1:3" x14ac:dyDescent="0.15">
      <c r="A50" s="7">
        <v>70</v>
      </c>
      <c r="B50" s="9" t="s">
        <v>2</v>
      </c>
      <c r="C50" s="54">
        <f>SUM(C45:C49)</f>
        <v>0</v>
      </c>
    </row>
    <row r="51" spans="1:3" ht="7.5" customHeight="1" x14ac:dyDescent="0.15"/>
    <row r="52" spans="1:3" x14ac:dyDescent="0.15">
      <c r="A52" s="4">
        <v>8</v>
      </c>
      <c r="B52" s="10" t="s">
        <v>19</v>
      </c>
      <c r="C52" s="11" t="s">
        <v>1</v>
      </c>
    </row>
    <row r="53" spans="1:3" x14ac:dyDescent="0.15">
      <c r="A53" s="5"/>
      <c r="B53" s="282"/>
      <c r="C53" s="283"/>
    </row>
    <row r="54" spans="1:3" x14ac:dyDescent="0.15">
      <c r="A54" s="5"/>
      <c r="B54" s="282"/>
      <c r="C54" s="283"/>
    </row>
    <row r="55" spans="1:3" x14ac:dyDescent="0.15">
      <c r="A55" s="5"/>
      <c r="B55" s="282"/>
      <c r="C55" s="283"/>
    </row>
    <row r="56" spans="1:3" ht="14" thickBot="1" x14ac:dyDescent="0.2">
      <c r="A56" s="5"/>
      <c r="B56" s="284"/>
      <c r="C56" s="285"/>
    </row>
    <row r="57" spans="1:3" x14ac:dyDescent="0.15">
      <c r="A57" s="7">
        <v>80</v>
      </c>
      <c r="B57" s="9" t="s">
        <v>2</v>
      </c>
      <c r="C57" s="54">
        <f>SUM(C52:C56)</f>
        <v>0</v>
      </c>
    </row>
    <row r="58" spans="1:3" ht="7.5" customHeight="1" x14ac:dyDescent="0.15"/>
    <row r="59" spans="1:3" x14ac:dyDescent="0.15">
      <c r="A59" s="4">
        <v>9</v>
      </c>
      <c r="B59" s="10" t="s">
        <v>507</v>
      </c>
      <c r="C59" s="11" t="s">
        <v>1</v>
      </c>
    </row>
    <row r="60" spans="1:3" x14ac:dyDescent="0.15">
      <c r="A60" s="5"/>
      <c r="B60" s="282"/>
      <c r="C60" s="283"/>
    </row>
    <row r="61" spans="1:3" x14ac:dyDescent="0.15">
      <c r="A61" s="5"/>
      <c r="B61" s="282"/>
      <c r="C61" s="283"/>
    </row>
    <row r="62" spans="1:3" x14ac:dyDescent="0.15">
      <c r="A62" s="5"/>
      <c r="B62" s="282"/>
      <c r="C62" s="283"/>
    </row>
    <row r="63" spans="1:3" ht="14" thickBot="1" x14ac:dyDescent="0.2">
      <c r="A63" s="5"/>
      <c r="B63" s="284"/>
      <c r="C63" s="285"/>
    </row>
    <row r="64" spans="1:3" x14ac:dyDescent="0.15">
      <c r="A64" s="7">
        <v>90</v>
      </c>
      <c r="B64" s="9" t="s">
        <v>2</v>
      </c>
      <c r="C64" s="54">
        <f>SUM(C59:C63)</f>
        <v>0</v>
      </c>
    </row>
    <row r="65" spans="1:1" x14ac:dyDescent="0.15">
      <c r="A65" s="713" t="s">
        <v>504</v>
      </c>
    </row>
  </sheetData>
  <sheetProtection password="DB4F" sheet="1" objects="1" scenarios="1" selectLockedCells="1"/>
  <phoneticPr fontId="15" type="noConversion"/>
  <pageMargins left="0.75" right="0.75" top="0.46" bottom="0.49" header="0.26" footer="0.23"/>
  <pageSetup paperSize="9" orientation="portrait" horizontalDpi="4294967293"/>
  <headerFooter alignWithMargins="0">
    <oddHeader>&amp;L&amp;A&amp;R&amp;F</oddHeader>
    <oddFooter>&amp;CPagina &amp;P+2&amp;R&amp;D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workbookViewId="0">
      <selection activeCell="B6" sqref="B6"/>
    </sheetView>
  </sheetViews>
  <sheetFormatPr baseColWidth="10" defaultColWidth="9.1640625" defaultRowHeight="13" x14ac:dyDescent="0.15"/>
  <cols>
    <col min="1" max="1" width="4" style="1" customWidth="1"/>
    <col min="2" max="2" width="56.33203125" style="1" customWidth="1"/>
    <col min="3" max="3" width="8" style="1" customWidth="1"/>
    <col min="4" max="4" width="18.5" style="1" customWidth="1"/>
    <col min="5" max="5" width="18.5" style="116" customWidth="1"/>
    <col min="6" max="6" width="6.1640625" style="1" customWidth="1"/>
    <col min="7" max="18" width="6" style="1" customWidth="1"/>
    <col min="19" max="16384" width="9.1640625" style="1"/>
  </cols>
  <sheetData>
    <row r="1" spans="1:19" ht="16" x14ac:dyDescent="0.2">
      <c r="A1" s="3" t="s">
        <v>508</v>
      </c>
    </row>
    <row r="2" spans="1:19" ht="16" x14ac:dyDescent="0.2">
      <c r="D2" s="714" t="str">
        <f>MID([1]Persona!$D$12,1,35)</f>
        <v/>
      </c>
      <c r="F2" s="120" t="s">
        <v>20</v>
      </c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2.75" customHeight="1" x14ac:dyDescent="0.15">
      <c r="F3" s="121">
        <f>D29+D30</f>
        <v>0</v>
      </c>
      <c r="G3" s="120">
        <v>30</v>
      </c>
      <c r="H3" s="120">
        <v>60</v>
      </c>
      <c r="I3" s="120">
        <v>90</v>
      </c>
      <c r="J3" s="120">
        <v>120</v>
      </c>
      <c r="K3" s="120">
        <v>150</v>
      </c>
      <c r="L3" s="120">
        <v>180</v>
      </c>
      <c r="M3" s="120">
        <v>210</v>
      </c>
      <c r="N3" s="120">
        <v>240</v>
      </c>
      <c r="O3" s="120"/>
      <c r="P3" s="120"/>
      <c r="Q3" s="120"/>
      <c r="R3" s="120"/>
      <c r="S3" s="120"/>
    </row>
    <row r="4" spans="1:19" x14ac:dyDescent="0.15">
      <c r="A4" s="4">
        <v>1</v>
      </c>
      <c r="B4" s="10" t="s">
        <v>21</v>
      </c>
      <c r="C4" s="10"/>
      <c r="D4" s="11" t="s">
        <v>1</v>
      </c>
      <c r="E4" s="117"/>
      <c r="F4" s="120" t="s">
        <v>501</v>
      </c>
      <c r="G4" s="120">
        <f t="shared" ref="G4:N4" si="0">IF(($D$30+$D$29)&lt;G$3,1,0)</f>
        <v>1</v>
      </c>
      <c r="H4" s="122">
        <f t="shared" si="0"/>
        <v>1</v>
      </c>
      <c r="I4" s="122">
        <f t="shared" si="0"/>
        <v>1</v>
      </c>
      <c r="J4" s="122">
        <f t="shared" si="0"/>
        <v>1</v>
      </c>
      <c r="K4" s="122">
        <f t="shared" si="0"/>
        <v>1</v>
      </c>
      <c r="L4" s="122">
        <f t="shared" si="0"/>
        <v>1</v>
      </c>
      <c r="M4" s="120">
        <f t="shared" si="0"/>
        <v>1</v>
      </c>
      <c r="N4" s="120">
        <f t="shared" si="0"/>
        <v>1</v>
      </c>
      <c r="O4" s="120">
        <v>1</v>
      </c>
      <c r="P4" s="120">
        <v>1</v>
      </c>
      <c r="Q4" s="120">
        <v>1</v>
      </c>
      <c r="R4" s="120">
        <v>1</v>
      </c>
      <c r="S4" s="120"/>
    </row>
    <row r="5" spans="1:19" x14ac:dyDescent="0.15">
      <c r="A5" s="5"/>
      <c r="B5" s="5" t="s">
        <v>22</v>
      </c>
      <c r="C5" s="6"/>
      <c r="D5" s="55">
        <f>IF(Costi!F9=0,Costi!E9,IF(Costi!G9=0,(Costi!E9+Costi!F9)/2,(Costi!E9+Costi!F9+Costi!G9)/3))</f>
        <v>0</v>
      </c>
      <c r="E5" s="101"/>
      <c r="F5" s="120"/>
      <c r="G5" s="122"/>
      <c r="H5" s="122"/>
      <c r="I5" s="123"/>
      <c r="J5" s="123"/>
      <c r="K5" s="123"/>
      <c r="L5" s="123"/>
      <c r="M5" s="123"/>
      <c r="N5" s="123"/>
      <c r="O5" s="120"/>
      <c r="P5" s="120"/>
      <c r="Q5" s="120"/>
      <c r="R5" s="120"/>
      <c r="S5" s="120"/>
    </row>
    <row r="6" spans="1:19" ht="14" thickBot="1" x14ac:dyDescent="0.2">
      <c r="A6" s="5"/>
      <c r="B6" s="282"/>
      <c r="C6" s="376"/>
      <c r="D6" s="283"/>
      <c r="E6" s="101"/>
      <c r="F6" s="120"/>
      <c r="G6" s="123">
        <f>IF(G$4=0,0,$S6/12)</f>
        <v>0</v>
      </c>
      <c r="H6" s="122">
        <f t="shared" ref="H6:R6" si="1">IF(H$4=0,0,$S6/12)</f>
        <v>0</v>
      </c>
      <c r="I6" s="122">
        <f t="shared" si="1"/>
        <v>0</v>
      </c>
      <c r="J6" s="123">
        <f t="shared" si="1"/>
        <v>0</v>
      </c>
      <c r="K6" s="123">
        <f t="shared" si="1"/>
        <v>0</v>
      </c>
      <c r="L6" s="123">
        <f t="shared" si="1"/>
        <v>0</v>
      </c>
      <c r="M6" s="123">
        <f t="shared" si="1"/>
        <v>0</v>
      </c>
      <c r="N6" s="123">
        <f t="shared" si="1"/>
        <v>0</v>
      </c>
      <c r="O6" s="120">
        <f t="shared" si="1"/>
        <v>0</v>
      </c>
      <c r="P6" s="120">
        <f t="shared" si="1"/>
        <v>0</v>
      </c>
      <c r="Q6" s="120">
        <f t="shared" si="1"/>
        <v>0</v>
      </c>
      <c r="R6" s="120">
        <f t="shared" si="1"/>
        <v>0</v>
      </c>
      <c r="S6" s="120">
        <f>Prezzi!L32</f>
        <v>0</v>
      </c>
    </row>
    <row r="7" spans="1:19" ht="14" thickBot="1" x14ac:dyDescent="0.2">
      <c r="A7" s="5"/>
      <c r="B7" s="7" t="s">
        <v>23</v>
      </c>
      <c r="C7" s="8" t="s">
        <v>24</v>
      </c>
      <c r="D7" s="377">
        <v>0</v>
      </c>
      <c r="E7" s="118"/>
      <c r="F7" s="120" t="s">
        <v>196</v>
      </c>
      <c r="G7" s="123">
        <f>IF(G$4=0,0,G6-($S7/12))</f>
        <v>0</v>
      </c>
      <c r="H7" s="123">
        <f t="shared" ref="H7:R7" si="2">IF(H$4=0,0,H6-($S7/12))</f>
        <v>0</v>
      </c>
      <c r="I7" s="122">
        <f t="shared" si="2"/>
        <v>0</v>
      </c>
      <c r="J7" s="122">
        <f t="shared" si="2"/>
        <v>0</v>
      </c>
      <c r="K7" s="123">
        <f t="shared" si="2"/>
        <v>0</v>
      </c>
      <c r="L7" s="123">
        <f t="shared" si="2"/>
        <v>0</v>
      </c>
      <c r="M7" s="123">
        <f t="shared" si="2"/>
        <v>0</v>
      </c>
      <c r="N7" s="123">
        <f t="shared" si="2"/>
        <v>0</v>
      </c>
      <c r="O7" s="120">
        <f t="shared" si="2"/>
        <v>0</v>
      </c>
      <c r="P7" s="120">
        <f t="shared" si="2"/>
        <v>0</v>
      </c>
      <c r="Q7" s="120">
        <f t="shared" si="2"/>
        <v>0</v>
      </c>
      <c r="R7" s="120">
        <f t="shared" si="2"/>
        <v>0</v>
      </c>
      <c r="S7" s="120">
        <f>Prezzi!L32*C28</f>
        <v>0</v>
      </c>
    </row>
    <row r="8" spans="1:19" x14ac:dyDescent="0.15">
      <c r="A8" s="24">
        <v>10</v>
      </c>
      <c r="B8" s="9"/>
      <c r="C8" s="8" t="s">
        <v>2</v>
      </c>
      <c r="D8" s="54">
        <f>CEILING((D5+D6)/365*D7,0.5)</f>
        <v>0</v>
      </c>
      <c r="E8" s="101"/>
      <c r="F8" s="120"/>
      <c r="G8" s="123">
        <f>IF(G$7=0,$R$6,$S8/12)</f>
        <v>0</v>
      </c>
      <c r="H8" s="123">
        <f t="shared" ref="H8:R8" si="3">IF(H$7=0,$R$6,$S8/12)</f>
        <v>0</v>
      </c>
      <c r="I8" s="123">
        <f t="shared" si="3"/>
        <v>0</v>
      </c>
      <c r="J8" s="122">
        <f t="shared" si="3"/>
        <v>0</v>
      </c>
      <c r="K8" s="122">
        <f t="shared" si="3"/>
        <v>0</v>
      </c>
      <c r="L8" s="123">
        <f t="shared" si="3"/>
        <v>0</v>
      </c>
      <c r="M8" s="123">
        <f t="shared" si="3"/>
        <v>0</v>
      </c>
      <c r="N8" s="123">
        <f t="shared" si="3"/>
        <v>0</v>
      </c>
      <c r="O8" s="120">
        <f t="shared" si="3"/>
        <v>0</v>
      </c>
      <c r="P8" s="120">
        <f t="shared" si="3"/>
        <v>0</v>
      </c>
      <c r="Q8" s="120">
        <f t="shared" si="3"/>
        <v>0</v>
      </c>
      <c r="R8" s="120">
        <f t="shared" si="3"/>
        <v>0</v>
      </c>
      <c r="S8" s="124">
        <f>Prezzi!K32</f>
        <v>0</v>
      </c>
    </row>
    <row r="9" spans="1:19" ht="12.75" customHeight="1" x14ac:dyDescent="0.15">
      <c r="D9" s="2"/>
      <c r="E9" s="119"/>
      <c r="F9" s="120" t="s">
        <v>37</v>
      </c>
      <c r="G9" s="123">
        <f>IF(G$7=0,$R$7,G8-($S9/12))</f>
        <v>0</v>
      </c>
      <c r="H9" s="123">
        <f t="shared" ref="H9:R9" si="4">IF(H$7=0,$R$7,H8-($S9/12))</f>
        <v>0</v>
      </c>
      <c r="I9" s="123">
        <f t="shared" si="4"/>
        <v>0</v>
      </c>
      <c r="J9" s="123">
        <f t="shared" si="4"/>
        <v>0</v>
      </c>
      <c r="K9" s="122">
        <f t="shared" si="4"/>
        <v>0</v>
      </c>
      <c r="L9" s="122">
        <f t="shared" si="4"/>
        <v>0</v>
      </c>
      <c r="M9" s="123">
        <f t="shared" si="4"/>
        <v>0</v>
      </c>
      <c r="N9" s="123">
        <f t="shared" si="4"/>
        <v>0</v>
      </c>
      <c r="O9" s="120">
        <f t="shared" si="4"/>
        <v>0</v>
      </c>
      <c r="P9" s="120">
        <f t="shared" si="4"/>
        <v>0</v>
      </c>
      <c r="Q9" s="120">
        <f t="shared" si="4"/>
        <v>0</v>
      </c>
      <c r="R9" s="120">
        <f t="shared" si="4"/>
        <v>0</v>
      </c>
      <c r="S9" s="120">
        <f>Prezzi!K32*C28</f>
        <v>0</v>
      </c>
    </row>
    <row r="10" spans="1:19" x14ac:dyDescent="0.15">
      <c r="F10" s="120"/>
      <c r="G10" s="123">
        <f>IF(G$7=0,$R$8,$S10/12)</f>
        <v>0</v>
      </c>
      <c r="H10" s="123">
        <f t="shared" ref="H10:R10" si="5">IF(H$7=0,$R$8,$S10/12)</f>
        <v>0</v>
      </c>
      <c r="I10" s="123">
        <f t="shared" si="5"/>
        <v>0</v>
      </c>
      <c r="J10" s="123">
        <f t="shared" si="5"/>
        <v>0</v>
      </c>
      <c r="K10" s="123">
        <f t="shared" si="5"/>
        <v>0</v>
      </c>
      <c r="L10" s="122">
        <f t="shared" si="5"/>
        <v>0</v>
      </c>
      <c r="M10" s="122">
        <f t="shared" si="5"/>
        <v>0</v>
      </c>
      <c r="N10" s="123">
        <f t="shared" si="5"/>
        <v>0</v>
      </c>
      <c r="O10" s="120">
        <f t="shared" si="5"/>
        <v>0</v>
      </c>
      <c r="P10" s="120">
        <f t="shared" si="5"/>
        <v>0</v>
      </c>
      <c r="Q10" s="120">
        <f t="shared" si="5"/>
        <v>0</v>
      </c>
      <c r="R10" s="120">
        <f t="shared" si="5"/>
        <v>0</v>
      </c>
      <c r="S10" s="124">
        <f>Prezzi!J32</f>
        <v>0</v>
      </c>
    </row>
    <row r="11" spans="1:19" ht="14" thickBot="1" x14ac:dyDescent="0.2">
      <c r="A11" s="4">
        <v>2</v>
      </c>
      <c r="B11" s="10" t="s">
        <v>25</v>
      </c>
      <c r="C11" s="27"/>
      <c r="D11" s="11" t="s">
        <v>1</v>
      </c>
      <c r="E11" s="117"/>
      <c r="F11" s="120" t="s">
        <v>38</v>
      </c>
      <c r="G11" s="123">
        <f>IF(G$7=0,$R$9,G10-($S11/12))</f>
        <v>0</v>
      </c>
      <c r="H11" s="123">
        <f t="shared" ref="H11:R11" si="6">IF(H$7=0,$R$9,H10-($S11/12))</f>
        <v>0</v>
      </c>
      <c r="I11" s="123">
        <f t="shared" si="6"/>
        <v>0</v>
      </c>
      <c r="J11" s="123">
        <f t="shared" si="6"/>
        <v>0</v>
      </c>
      <c r="K11" s="123">
        <f t="shared" si="6"/>
        <v>0</v>
      </c>
      <c r="L11" s="123">
        <f t="shared" si="6"/>
        <v>0</v>
      </c>
      <c r="M11" s="122">
        <f t="shared" si="6"/>
        <v>0</v>
      </c>
      <c r="N11" s="122">
        <f t="shared" si="6"/>
        <v>0</v>
      </c>
      <c r="O11" s="120">
        <f t="shared" si="6"/>
        <v>0</v>
      </c>
      <c r="P11" s="120">
        <f t="shared" si="6"/>
        <v>0</v>
      </c>
      <c r="Q11" s="120">
        <f t="shared" si="6"/>
        <v>0</v>
      </c>
      <c r="R11" s="120">
        <f t="shared" si="6"/>
        <v>0</v>
      </c>
      <c r="S11" s="120">
        <f>Prezzi!J32*C28</f>
        <v>0</v>
      </c>
    </row>
    <row r="12" spans="1:19" ht="14" thickBot="1" x14ac:dyDescent="0.2">
      <c r="A12" s="5"/>
      <c r="B12" s="5" t="s">
        <v>26</v>
      </c>
      <c r="C12" s="12" t="s">
        <v>27</v>
      </c>
      <c r="D12" s="378">
        <v>0</v>
      </c>
      <c r="E12" s="101"/>
    </row>
    <row r="13" spans="1:19" ht="14" thickBot="1" x14ac:dyDescent="0.2">
      <c r="A13" s="5"/>
      <c r="B13" s="282"/>
      <c r="C13" s="376"/>
      <c r="D13" s="283"/>
      <c r="E13" s="101"/>
    </row>
    <row r="14" spans="1:19" ht="14" thickBot="1" x14ac:dyDescent="0.2">
      <c r="A14" s="5"/>
      <c r="B14" s="7" t="s">
        <v>23</v>
      </c>
      <c r="C14" s="8" t="s">
        <v>24</v>
      </c>
      <c r="D14" s="377">
        <v>0</v>
      </c>
      <c r="E14" s="118"/>
    </row>
    <row r="15" spans="1:19" x14ac:dyDescent="0.15">
      <c r="A15" s="7">
        <v>20</v>
      </c>
      <c r="B15" s="9"/>
      <c r="C15" s="8" t="s">
        <v>2</v>
      </c>
      <c r="D15" s="54">
        <f>CEILING((D12+D13)/365*D14,0.5)</f>
        <v>0</v>
      </c>
      <c r="E15" s="101"/>
    </row>
    <row r="18" spans="1:5" x14ac:dyDescent="0.15">
      <c r="A18" s="4">
        <v>3</v>
      </c>
      <c r="B18" s="10" t="s">
        <v>28</v>
      </c>
      <c r="C18" s="27"/>
      <c r="D18" s="11" t="s">
        <v>1</v>
      </c>
      <c r="E18" s="117"/>
    </row>
    <row r="19" spans="1:5" x14ac:dyDescent="0.15">
      <c r="A19" s="5"/>
      <c r="B19" s="5" t="s">
        <v>29</v>
      </c>
      <c r="C19" s="6"/>
      <c r="D19" s="55">
        <f>IF(Costi!F113=0,Costi!E113,IF(Costi!G113=0,(Costi!E113+Costi!F113)/2,(Costi!E113+Costi!F113+Costi!G113)/3))</f>
        <v>0</v>
      </c>
      <c r="E19" s="101"/>
    </row>
    <row r="20" spans="1:5" ht="14" thickBot="1" x14ac:dyDescent="0.2">
      <c r="A20" s="5"/>
      <c r="B20" s="282"/>
      <c r="C20" s="376"/>
      <c r="D20" s="283"/>
      <c r="E20" s="101"/>
    </row>
    <row r="21" spans="1:5" ht="14" thickBot="1" x14ac:dyDescent="0.2">
      <c r="A21" s="5"/>
      <c r="B21" s="7" t="s">
        <v>30</v>
      </c>
      <c r="C21" s="8" t="s">
        <v>24</v>
      </c>
      <c r="D21" s="377">
        <v>0</v>
      </c>
      <c r="E21" s="118"/>
    </row>
    <row r="22" spans="1:5" x14ac:dyDescent="0.15">
      <c r="A22" s="7">
        <v>30</v>
      </c>
      <c r="B22" s="9"/>
      <c r="C22" s="8" t="s">
        <v>2</v>
      </c>
      <c r="D22" s="54">
        <f>(D19+D20)/365*D21</f>
        <v>0</v>
      </c>
      <c r="E22" s="101"/>
    </row>
    <row r="25" spans="1:5" x14ac:dyDescent="0.15">
      <c r="A25" s="4">
        <v>4</v>
      </c>
      <c r="B25" s="10" t="s">
        <v>31</v>
      </c>
      <c r="C25" s="10"/>
      <c r="D25" s="11" t="s">
        <v>1</v>
      </c>
      <c r="E25" s="117"/>
    </row>
    <row r="26" spans="1:5" x14ac:dyDescent="0.15">
      <c r="A26" s="5"/>
      <c r="B26" s="5" t="s">
        <v>32</v>
      </c>
      <c r="C26" s="6"/>
      <c r="D26" s="55">
        <f>IF(Prezzi!W1=4,0,IF(Prezzi!W1=1,(Prezzi!O19+Prezzi!K32+Prezzi!L32)/3,(Prezzi!O19+Prezzi!K32+Prezzi!L32)/3))</f>
        <v>0</v>
      </c>
      <c r="E26" s="101"/>
    </row>
    <row r="27" spans="1:5" ht="14" thickBot="1" x14ac:dyDescent="0.2">
      <c r="A27" s="5"/>
      <c r="B27" s="282"/>
      <c r="C27" s="376"/>
      <c r="D27" s="283"/>
      <c r="E27" s="101"/>
    </row>
    <row r="28" spans="1:5" ht="14" thickBot="1" x14ac:dyDescent="0.2">
      <c r="A28" s="5"/>
      <c r="B28" s="5" t="s">
        <v>33</v>
      </c>
      <c r="C28" s="379">
        <v>0</v>
      </c>
      <c r="D28" s="55">
        <f>CEILING((D26+D27)*C28,0.5)</f>
        <v>0</v>
      </c>
      <c r="E28" s="101"/>
    </row>
    <row r="29" spans="1:5" ht="14" thickBot="1" x14ac:dyDescent="0.2">
      <c r="A29" s="5"/>
      <c r="B29" s="5" t="s">
        <v>34</v>
      </c>
      <c r="C29" s="12" t="s">
        <v>24</v>
      </c>
      <c r="D29" s="377">
        <v>0</v>
      </c>
      <c r="E29" s="118"/>
    </row>
    <row r="30" spans="1:5" ht="14" thickBot="1" x14ac:dyDescent="0.2">
      <c r="A30" s="5"/>
      <c r="B30" s="7" t="s">
        <v>35</v>
      </c>
      <c r="C30" s="8" t="s">
        <v>24</v>
      </c>
      <c r="D30" s="377">
        <v>0</v>
      </c>
      <c r="E30" s="118"/>
    </row>
    <row r="31" spans="1:5" x14ac:dyDescent="0.15">
      <c r="A31" s="7">
        <v>40</v>
      </c>
      <c r="B31" s="9"/>
      <c r="C31" s="8" t="s">
        <v>2</v>
      </c>
      <c r="D31" s="54">
        <f>CEILING((D26-D27-D28)/365*(D29+D30),0.5)</f>
        <v>0</v>
      </c>
      <c r="E31" s="101"/>
    </row>
    <row r="39" spans="2:2" x14ac:dyDescent="0.15">
      <c r="B39" s="35"/>
    </row>
    <row r="40" spans="2:2" x14ac:dyDescent="0.15">
      <c r="B40" s="35"/>
    </row>
    <row r="45" spans="2:2" x14ac:dyDescent="0.15">
      <c r="B45" s="35"/>
    </row>
    <row r="46" spans="2:2" x14ac:dyDescent="0.15">
      <c r="B46" s="35"/>
    </row>
    <row r="57" spans="1:2" x14ac:dyDescent="0.15">
      <c r="B57" s="227"/>
    </row>
    <row r="58" spans="1:2" x14ac:dyDescent="0.15">
      <c r="B58" s="228"/>
    </row>
    <row r="59" spans="1:2" x14ac:dyDescent="0.15">
      <c r="A59" s="713" t="s">
        <v>504</v>
      </c>
    </row>
  </sheetData>
  <sheetProtection password="DB4F" sheet="1" objects="1" scenarios="1" selectLockedCells="1"/>
  <phoneticPr fontId="15" type="noConversion"/>
  <pageMargins left="0.75" right="0.75" top="0.65" bottom="0.64" header="0.35" footer="0.5"/>
  <pageSetup paperSize="9" orientation="portrait" horizontalDpi="4294967293"/>
  <headerFooter alignWithMargins="0">
    <oddHeader>&amp;L&amp;A&amp;R&amp;F</oddHeader>
    <oddFooter>&amp;CPagina &amp;P+3&amp;R&amp;D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4"/>
  <sheetViews>
    <sheetView topLeftCell="A23" workbookViewId="0">
      <selection activeCell="D47" sqref="D47"/>
    </sheetView>
  </sheetViews>
  <sheetFormatPr baseColWidth="10" defaultColWidth="9.1640625" defaultRowHeight="13" x14ac:dyDescent="0.15"/>
  <cols>
    <col min="1" max="1" width="3.83203125" style="1" customWidth="1"/>
    <col min="2" max="2" width="56.6640625" style="1" customWidth="1"/>
    <col min="3" max="3" width="4.6640625" style="1" customWidth="1"/>
    <col min="4" max="4" width="6.5" style="1" customWidth="1"/>
    <col min="5" max="5" width="17.1640625" style="1" customWidth="1"/>
    <col min="6" max="6" width="9.1640625" style="1"/>
    <col min="7" max="7" width="18.5" style="1" customWidth="1"/>
    <col min="8" max="16384" width="9.1640625" style="1"/>
  </cols>
  <sheetData>
    <row r="1" spans="1:5" ht="16" x14ac:dyDescent="0.2">
      <c r="A1" s="3" t="s">
        <v>39</v>
      </c>
      <c r="E1" s="714" t="str">
        <f>MID([1]Persona!$D$12,1,35)</f>
        <v/>
      </c>
    </row>
    <row r="3" spans="1:5" ht="16" x14ac:dyDescent="0.2">
      <c r="A3" s="19" t="s">
        <v>40</v>
      </c>
      <c r="B3" s="14" t="s">
        <v>509</v>
      </c>
      <c r="C3" s="216"/>
      <c r="D3" s="216"/>
      <c r="E3" s="11" t="s">
        <v>1</v>
      </c>
    </row>
    <row r="4" spans="1:5" x14ac:dyDescent="0.15">
      <c r="A4" s="17">
        <v>1</v>
      </c>
      <c r="B4" s="15" t="s">
        <v>0</v>
      </c>
      <c r="C4" s="117"/>
      <c r="D4" s="117"/>
      <c r="E4" s="55">
        <f>LOOKUP(10,Fondazione!A$3:A$64,Fondazione!C$3:C$64)</f>
        <v>0</v>
      </c>
    </row>
    <row r="5" spans="1:5" x14ac:dyDescent="0.15">
      <c r="A5" s="17">
        <v>2</v>
      </c>
      <c r="B5" s="15" t="s">
        <v>3</v>
      </c>
      <c r="C5" s="117"/>
      <c r="D5" s="117"/>
      <c r="E5" s="55">
        <f>LOOKUP(20,Fondazione!A$3:A$64,Fondazione!C$3:C$64)</f>
        <v>0</v>
      </c>
    </row>
    <row r="6" spans="1:5" x14ac:dyDescent="0.15">
      <c r="A6" s="17">
        <v>3</v>
      </c>
      <c r="B6" s="15" t="s">
        <v>4</v>
      </c>
      <c r="C6" s="117"/>
      <c r="D6" s="117"/>
      <c r="E6" s="55">
        <f>LOOKUP(30,Fondazione!A$3:A$64,Fondazione!C$3:C$64)</f>
        <v>0</v>
      </c>
    </row>
    <row r="7" spans="1:5" x14ac:dyDescent="0.15">
      <c r="A7" s="17">
        <v>4</v>
      </c>
      <c r="B7" s="15" t="s">
        <v>5</v>
      </c>
      <c r="C7" s="117"/>
      <c r="D7" s="117"/>
      <c r="E7" s="55">
        <f>LOOKUP(40,Fondazione!A$3:A$64,Fondazione!C$3:C$64)</f>
        <v>0</v>
      </c>
    </row>
    <row r="8" spans="1:5" x14ac:dyDescent="0.15">
      <c r="A8" s="17">
        <v>5</v>
      </c>
      <c r="B8" s="15" t="s">
        <v>6</v>
      </c>
      <c r="C8" s="117"/>
      <c r="D8" s="117"/>
      <c r="E8" s="55">
        <f>LOOKUP(50,Fondazione!A$3:A$64,Fondazione!C$3:C$64)</f>
        <v>0</v>
      </c>
    </row>
    <row r="9" spans="1:5" x14ac:dyDescent="0.15">
      <c r="A9" s="17">
        <v>6</v>
      </c>
      <c r="B9" s="15" t="s">
        <v>7</v>
      </c>
      <c r="C9" s="117"/>
      <c r="D9" s="117"/>
      <c r="E9" s="55">
        <f>LOOKUP(60,Fondazione!A$3:A$64,Fondazione!C$3:C$64)</f>
        <v>0</v>
      </c>
    </row>
    <row r="10" spans="1:5" x14ac:dyDescent="0.15">
      <c r="A10" s="17">
        <v>7</v>
      </c>
      <c r="B10" s="15" t="s">
        <v>8</v>
      </c>
      <c r="C10" s="117"/>
      <c r="D10" s="117"/>
      <c r="E10" s="55">
        <f>LOOKUP(70,Fondazione!A$3:A$64,Fondazione!C$3:C$64)</f>
        <v>0</v>
      </c>
    </row>
    <row r="11" spans="1:5" x14ac:dyDescent="0.15">
      <c r="A11" s="17">
        <v>8</v>
      </c>
      <c r="B11" s="15" t="s">
        <v>9</v>
      </c>
      <c r="C11" s="117"/>
      <c r="D11" s="117"/>
      <c r="E11" s="55">
        <f>LOOKUP(80,Fondazione!A$3:A$64,Fondazione!C$3:C$64)</f>
        <v>0</v>
      </c>
    </row>
    <row r="12" spans="1:5" ht="14" thickBot="1" x14ac:dyDescent="0.2">
      <c r="A12" s="18">
        <v>9</v>
      </c>
      <c r="B12" s="16" t="s">
        <v>10</v>
      </c>
      <c r="C12" s="217"/>
      <c r="D12" s="217"/>
      <c r="E12" s="56">
        <f>LOOKUP(90,Fondazione!A$3:A$64,Fondazione!C$3:C$64)</f>
        <v>0</v>
      </c>
    </row>
    <row r="13" spans="1:5" x14ac:dyDescent="0.15">
      <c r="A13" s="7"/>
      <c r="B13" s="9"/>
      <c r="C13" s="724" t="s">
        <v>2</v>
      </c>
      <c r="D13" s="725"/>
      <c r="E13" s="54">
        <f>SUM(E4:E12)</f>
        <v>0</v>
      </c>
    </row>
    <row r="15" spans="1:5" ht="16" x14ac:dyDescent="0.2">
      <c r="A15" s="19" t="s">
        <v>42</v>
      </c>
      <c r="B15" s="14" t="s">
        <v>43</v>
      </c>
      <c r="C15" s="216"/>
      <c r="D15" s="216"/>
      <c r="E15" s="11" t="s">
        <v>1</v>
      </c>
    </row>
    <row r="16" spans="1:5" x14ac:dyDescent="0.15">
      <c r="A16" s="17">
        <v>1</v>
      </c>
      <c r="B16" s="15" t="s">
        <v>12</v>
      </c>
      <c r="C16" s="117"/>
      <c r="D16" s="117"/>
      <c r="E16" s="55">
        <f>LOOKUP(10,Fisso!A$3:A$64,Fisso!C$3:C$64)</f>
        <v>0</v>
      </c>
    </row>
    <row r="17" spans="1:7" x14ac:dyDescent="0.15">
      <c r="A17" s="17">
        <v>2</v>
      </c>
      <c r="B17" s="15" t="s">
        <v>13</v>
      </c>
      <c r="C17" s="117"/>
      <c r="D17" s="117"/>
      <c r="E17" s="55">
        <f>LOOKUP(20,Fisso!A$3:A$64,Fisso!C$3:C$64)</f>
        <v>0</v>
      </c>
    </row>
    <row r="18" spans="1:7" x14ac:dyDescent="0.15">
      <c r="A18" s="17">
        <v>3</v>
      </c>
      <c r="B18" s="15" t="s">
        <v>14</v>
      </c>
      <c r="C18" s="117"/>
      <c r="D18" s="117"/>
      <c r="E18" s="55">
        <f>LOOKUP(30,Fisso!A$3:A$64,Fisso!C$3:C$64)</f>
        <v>0</v>
      </c>
    </row>
    <row r="19" spans="1:7" x14ac:dyDescent="0.15">
      <c r="A19" s="17">
        <v>4</v>
      </c>
      <c r="B19" s="15" t="s">
        <v>15</v>
      </c>
      <c r="C19" s="117"/>
      <c r="D19" s="117"/>
      <c r="E19" s="55">
        <f>LOOKUP(40,Fisso!A$3:A$64,Fisso!C$3:C$64)</f>
        <v>0</v>
      </c>
    </row>
    <row r="20" spans="1:7" x14ac:dyDescent="0.15">
      <c r="A20" s="17">
        <v>5</v>
      </c>
      <c r="B20" s="15" t="s">
        <v>16</v>
      </c>
      <c r="C20" s="117"/>
      <c r="D20" s="117"/>
      <c r="E20" s="55">
        <f>LOOKUP(50,Fisso!A$3:A$64,Fisso!C$3:C$64)</f>
        <v>0</v>
      </c>
    </row>
    <row r="21" spans="1:7" x14ac:dyDescent="0.15">
      <c r="A21" s="17">
        <v>6</v>
      </c>
      <c r="B21" s="15" t="s">
        <v>17</v>
      </c>
      <c r="C21" s="117"/>
      <c r="D21" s="117"/>
      <c r="E21" s="55">
        <f>LOOKUP(60,Fisso!A$3:A$64,Fisso!C$3:C$64)</f>
        <v>0</v>
      </c>
    </row>
    <row r="22" spans="1:7" x14ac:dyDescent="0.15">
      <c r="A22" s="17">
        <v>7</v>
      </c>
      <c r="B22" s="15" t="s">
        <v>18</v>
      </c>
      <c r="C22" s="117"/>
      <c r="D22" s="117"/>
      <c r="E22" s="55">
        <f>LOOKUP(70,Fisso!A$3:A$64,Fisso!C$3:C$64)</f>
        <v>0</v>
      </c>
    </row>
    <row r="23" spans="1:7" x14ac:dyDescent="0.15">
      <c r="A23" s="17">
        <v>8</v>
      </c>
      <c r="B23" s="15" t="s">
        <v>19</v>
      </c>
      <c r="C23" s="117"/>
      <c r="D23" s="117"/>
      <c r="E23" s="55">
        <f>LOOKUP(80,Fisso!A$3:A$64,Fisso!C$3:C$64)</f>
        <v>0</v>
      </c>
    </row>
    <row r="24" spans="1:7" ht="14" thickBot="1" x14ac:dyDescent="0.2">
      <c r="A24" s="18">
        <v>9</v>
      </c>
      <c r="B24" s="16" t="s">
        <v>44</v>
      </c>
      <c r="C24" s="217"/>
      <c r="D24" s="217"/>
      <c r="E24" s="56">
        <f>LOOKUP(90,Fisso!A$3:A$64,Fisso!C$3:C$64)</f>
        <v>0</v>
      </c>
    </row>
    <row r="25" spans="1:7" x14ac:dyDescent="0.15">
      <c r="A25" s="21"/>
      <c r="B25" s="22"/>
      <c r="C25" s="724" t="s">
        <v>2</v>
      </c>
      <c r="D25" s="725"/>
      <c r="E25" s="54">
        <f>SUM(E16:E24)</f>
        <v>0</v>
      </c>
    </row>
    <row r="28" spans="1:7" ht="16" x14ac:dyDescent="0.2">
      <c r="A28" s="19" t="s">
        <v>45</v>
      </c>
      <c r="B28" s="14" t="s">
        <v>46</v>
      </c>
      <c r="C28" s="216"/>
      <c r="D28" s="216"/>
      <c r="E28" s="11" t="s">
        <v>1</v>
      </c>
    </row>
    <row r="29" spans="1:7" x14ac:dyDescent="0.15">
      <c r="A29" s="25">
        <v>1</v>
      </c>
      <c r="B29" s="15" t="s">
        <v>21</v>
      </c>
      <c r="C29" s="117"/>
      <c r="D29" s="117"/>
      <c r="E29" s="55">
        <f>Circolante!D8</f>
        <v>0</v>
      </c>
    </row>
    <row r="30" spans="1:7" x14ac:dyDescent="0.15">
      <c r="A30" s="25">
        <v>2</v>
      </c>
      <c r="B30" s="15" t="s">
        <v>25</v>
      </c>
      <c r="C30" s="117"/>
      <c r="D30" s="117"/>
      <c r="E30" s="55">
        <f>Circolante!D15</f>
        <v>0</v>
      </c>
    </row>
    <row r="31" spans="1:7" x14ac:dyDescent="0.15">
      <c r="A31" s="25">
        <v>3</v>
      </c>
      <c r="B31" s="15" t="s">
        <v>28</v>
      </c>
      <c r="C31" s="117"/>
      <c r="D31" s="117"/>
      <c r="E31" s="55">
        <f>Circolante!D22</f>
        <v>0</v>
      </c>
    </row>
    <row r="32" spans="1:7" ht="14" thickBot="1" x14ac:dyDescent="0.2">
      <c r="A32" s="26">
        <v>4</v>
      </c>
      <c r="B32" s="16" t="s">
        <v>31</v>
      </c>
      <c r="C32" s="217"/>
      <c r="D32" s="217"/>
      <c r="E32" s="56">
        <f>LOOKUP(40,Circolante!A$4:A$49,Circolante!D$4:D$49)</f>
        <v>0</v>
      </c>
      <c r="G32" s="2"/>
    </row>
    <row r="33" spans="1:5" x14ac:dyDescent="0.15">
      <c r="A33" s="21"/>
      <c r="B33" s="22"/>
      <c r="C33" s="724" t="s">
        <v>2</v>
      </c>
      <c r="D33" s="725"/>
      <c r="E33" s="54">
        <f>SUM(E29:E32)</f>
        <v>0</v>
      </c>
    </row>
    <row r="36" spans="1:5" ht="16" x14ac:dyDescent="0.2">
      <c r="A36" s="19" t="s">
        <v>47</v>
      </c>
      <c r="B36" s="14" t="s">
        <v>48</v>
      </c>
      <c r="C36" s="216"/>
      <c r="D36" s="216"/>
      <c r="E36" s="11" t="s">
        <v>1</v>
      </c>
    </row>
    <row r="37" spans="1:5" x14ac:dyDescent="0.15">
      <c r="A37" s="25" t="s">
        <v>49</v>
      </c>
      <c r="B37" s="15" t="s">
        <v>41</v>
      </c>
      <c r="C37" s="117"/>
      <c r="D37" s="117"/>
      <c r="E37" s="55">
        <f>E13</f>
        <v>0</v>
      </c>
    </row>
    <row r="38" spans="1:5" x14ac:dyDescent="0.15">
      <c r="A38" s="25" t="s">
        <v>50</v>
      </c>
      <c r="B38" s="15" t="s">
        <v>43</v>
      </c>
      <c r="C38" s="117"/>
      <c r="D38" s="117"/>
      <c r="E38" s="55">
        <f>E25</f>
        <v>0</v>
      </c>
    </row>
    <row r="39" spans="1:5" ht="14" thickBot="1" x14ac:dyDescent="0.2">
      <c r="A39" s="25" t="s">
        <v>51</v>
      </c>
      <c r="B39" s="15" t="s">
        <v>46</v>
      </c>
      <c r="C39" s="117"/>
      <c r="D39" s="117"/>
      <c r="E39" s="55">
        <f>E33</f>
        <v>0</v>
      </c>
    </row>
    <row r="40" spans="1:5" ht="14" thickBot="1" x14ac:dyDescent="0.2">
      <c r="A40" s="26" t="s">
        <v>52</v>
      </c>
      <c r="B40" s="16" t="s">
        <v>53</v>
      </c>
      <c r="C40" s="726"/>
      <c r="D40" s="727"/>
      <c r="E40" s="535">
        <f>SUM(E37:E39)*C40</f>
        <v>0</v>
      </c>
    </row>
    <row r="41" spans="1:5" x14ac:dyDescent="0.15">
      <c r="A41" s="21"/>
      <c r="B41" s="81"/>
      <c r="C41" s="722" t="s">
        <v>2</v>
      </c>
      <c r="D41" s="723"/>
      <c r="E41" s="80">
        <f>SUM(E37:E40)</f>
        <v>0</v>
      </c>
    </row>
    <row r="44" spans="1:5" ht="16" x14ac:dyDescent="0.2">
      <c r="A44" s="19" t="s">
        <v>54</v>
      </c>
      <c r="B44" s="14" t="s">
        <v>55</v>
      </c>
      <c r="C44" s="534"/>
      <c r="D44" s="534"/>
      <c r="E44" s="11" t="s">
        <v>1</v>
      </c>
    </row>
    <row r="45" spans="1:5" x14ac:dyDescent="0.15">
      <c r="A45" s="25" t="s">
        <v>49</v>
      </c>
      <c r="B45" s="5" t="s">
        <v>510</v>
      </c>
      <c r="E45" s="381">
        <v>0</v>
      </c>
    </row>
    <row r="46" spans="1:5" ht="14" thickBot="1" x14ac:dyDescent="0.2">
      <c r="A46" s="25" t="s">
        <v>50</v>
      </c>
      <c r="B46" s="5" t="s">
        <v>57</v>
      </c>
      <c r="E46" s="381">
        <v>0</v>
      </c>
    </row>
    <row r="47" spans="1:5" ht="14" thickBot="1" x14ac:dyDescent="0.2">
      <c r="A47" s="25" t="s">
        <v>51</v>
      </c>
      <c r="B47" s="5" t="s">
        <v>442</v>
      </c>
      <c r="C47" s="1" t="s">
        <v>441</v>
      </c>
      <c r="D47" s="380"/>
      <c r="E47" s="381">
        <v>0</v>
      </c>
    </row>
    <row r="48" spans="1:5" ht="14" thickBot="1" x14ac:dyDescent="0.2">
      <c r="A48" s="25" t="s">
        <v>52</v>
      </c>
      <c r="B48" s="5" t="s">
        <v>443</v>
      </c>
      <c r="C48" s="603"/>
      <c r="D48" s="379"/>
      <c r="E48" s="381">
        <v>0</v>
      </c>
    </row>
    <row r="49" spans="1:5" x14ac:dyDescent="0.15">
      <c r="A49" s="25" t="s">
        <v>59</v>
      </c>
      <c r="B49" s="5" t="s">
        <v>60</v>
      </c>
      <c r="E49" s="381">
        <v>0</v>
      </c>
    </row>
    <row r="50" spans="1:5" ht="14" thickBot="1" x14ac:dyDescent="0.2">
      <c r="A50" s="26" t="s">
        <v>61</v>
      </c>
      <c r="B50" s="23" t="s">
        <v>62</v>
      </c>
      <c r="C50" s="219"/>
      <c r="D50" s="219"/>
      <c r="E50" s="382">
        <v>0</v>
      </c>
    </row>
    <row r="51" spans="1:5" ht="14" thickBot="1" x14ac:dyDescent="0.2">
      <c r="A51" s="7"/>
      <c r="B51" s="46"/>
      <c r="C51" s="218" t="s">
        <v>63</v>
      </c>
      <c r="D51" s="715"/>
      <c r="E51" s="220">
        <f>E41-(SUM(E45:E50))</f>
        <v>0</v>
      </c>
    </row>
    <row r="52" spans="1:5" ht="14" thickTop="1" x14ac:dyDescent="0.15"/>
    <row r="54" spans="1:5" x14ac:dyDescent="0.15">
      <c r="A54" s="713" t="s">
        <v>504</v>
      </c>
    </row>
  </sheetData>
  <sheetProtection password="DB4F" sheet="1" objects="1" scenarios="1" selectLockedCells="1"/>
  <mergeCells count="5">
    <mergeCell ref="C41:D41"/>
    <mergeCell ref="C13:D13"/>
    <mergeCell ref="C25:D25"/>
    <mergeCell ref="C33:D33"/>
    <mergeCell ref="C40:D40"/>
  </mergeCells>
  <phoneticPr fontId="15" type="noConversion"/>
  <pageMargins left="0.75" right="0.61" top="1" bottom="1" header="0.5" footer="0.5"/>
  <pageSetup paperSize="9" orientation="portrait" horizontalDpi="4294967293"/>
  <headerFooter alignWithMargins="0">
    <oddHeader>&amp;L&amp;A&amp;R&amp;F</oddHeader>
    <oddFooter>&amp;CPagina &amp;P+4&amp;R&amp;D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0"/>
  <sheetViews>
    <sheetView workbookViewId="0">
      <selection activeCell="B4" sqref="B4"/>
    </sheetView>
  </sheetViews>
  <sheetFormatPr baseColWidth="10" defaultColWidth="9.1640625" defaultRowHeight="13" x14ac:dyDescent="0.15"/>
  <cols>
    <col min="1" max="1" width="4.5" style="1" customWidth="1"/>
    <col min="2" max="2" width="35" style="1" customWidth="1"/>
    <col min="3" max="3" width="5.33203125" style="1" customWidth="1"/>
    <col min="4" max="4" width="6.6640625" style="1" customWidth="1"/>
    <col min="5" max="7" width="13.6640625" style="1" customWidth="1"/>
    <col min="8" max="9" width="9.1640625" style="1"/>
    <col min="10" max="12" width="12.83203125" style="1" customWidth="1"/>
    <col min="13" max="16384" width="9.1640625" style="1"/>
  </cols>
  <sheetData>
    <row r="1" spans="1:10" ht="16" x14ac:dyDescent="0.2">
      <c r="A1" s="3" t="s">
        <v>64</v>
      </c>
      <c r="C1" s="169" t="str">
        <f>Prezzi!D1</f>
        <v>NON ANCORA DEFINITO</v>
      </c>
      <c r="D1" s="716">
        <f>Prezzi!W1</f>
        <v>4</v>
      </c>
      <c r="G1" s="714" t="str">
        <f>MID([1]Persona!$D$12,1,35)</f>
        <v/>
      </c>
    </row>
    <row r="2" spans="1:10" ht="13.5" customHeight="1" x14ac:dyDescent="0.15">
      <c r="E2" s="28" t="s">
        <v>65</v>
      </c>
      <c r="F2" s="28" t="s">
        <v>66</v>
      </c>
      <c r="G2" s="28" t="s">
        <v>67</v>
      </c>
    </row>
    <row r="3" spans="1:10" x14ac:dyDescent="0.15">
      <c r="A3" s="4">
        <v>1</v>
      </c>
      <c r="B3" s="13" t="s">
        <v>68</v>
      </c>
      <c r="C3" s="50"/>
      <c r="D3" s="27"/>
      <c r="E3" s="11" t="s">
        <v>1</v>
      </c>
      <c r="F3" s="11" t="s">
        <v>1</v>
      </c>
      <c r="G3" s="11" t="s">
        <v>1</v>
      </c>
      <c r="J3" s="6"/>
    </row>
    <row r="4" spans="1:10" x14ac:dyDescent="0.15">
      <c r="A4" s="5"/>
      <c r="B4" s="282" t="s">
        <v>69</v>
      </c>
      <c r="C4" s="376"/>
      <c r="D4" s="376"/>
      <c r="E4" s="283"/>
      <c r="F4" s="283"/>
      <c r="G4" s="283"/>
      <c r="J4" s="6"/>
    </row>
    <row r="5" spans="1:10" x14ac:dyDescent="0.15">
      <c r="A5" s="5"/>
      <c r="B5" s="282" t="s">
        <v>70</v>
      </c>
      <c r="C5" s="376"/>
      <c r="D5" s="376"/>
      <c r="E5" s="283"/>
      <c r="F5" s="283"/>
      <c r="G5" s="283"/>
      <c r="J5" s="6"/>
    </row>
    <row r="6" spans="1:10" x14ac:dyDescent="0.15">
      <c r="A6" s="5"/>
      <c r="B6" s="282" t="s">
        <v>71</v>
      </c>
      <c r="C6" s="376"/>
      <c r="D6" s="376"/>
      <c r="E6" s="283"/>
      <c r="F6" s="283"/>
      <c r="G6" s="283"/>
      <c r="J6" s="6"/>
    </row>
    <row r="7" spans="1:10" x14ac:dyDescent="0.15">
      <c r="A7" s="5"/>
      <c r="B7" s="282" t="s">
        <v>72</v>
      </c>
      <c r="C7" s="376"/>
      <c r="D7" s="376"/>
      <c r="E7" s="283"/>
      <c r="F7" s="283"/>
      <c r="G7" s="283"/>
      <c r="J7" s="6"/>
    </row>
    <row r="8" spans="1:10" ht="14" thickBot="1" x14ac:dyDescent="0.2">
      <c r="A8" s="5"/>
      <c r="B8" s="7" t="s">
        <v>73</v>
      </c>
      <c r="C8" s="6"/>
      <c r="D8" s="6"/>
      <c r="E8" s="56">
        <f>IF($D$1=1,Prezzi!K19*12,(Prezzi!K19*12)*Prezzi!L26)</f>
        <v>0</v>
      </c>
      <c r="F8" s="56">
        <f>IF($D$1=1,Prezzi!K19*12,(Prezzi!K19*12)*Prezzi!K26)</f>
        <v>0</v>
      </c>
      <c r="G8" s="56">
        <f>IF($D$1=1,Prezzi!K19*12,(Prezzi!K19*12)*Prezzi!J24)</f>
        <v>0</v>
      </c>
      <c r="J8" s="6"/>
    </row>
    <row r="9" spans="1:10" x14ac:dyDescent="0.15">
      <c r="A9" s="7">
        <v>100</v>
      </c>
      <c r="B9" s="9"/>
      <c r="C9" s="689"/>
      <c r="D9" s="689" t="s">
        <v>2</v>
      </c>
      <c r="E9" s="54">
        <f>SUM(E4:E8)</f>
        <v>0</v>
      </c>
      <c r="F9" s="54">
        <f>SUM(F4:F8)</f>
        <v>0</v>
      </c>
      <c r="G9" s="54">
        <f>SUM(G4:G8)</f>
        <v>0</v>
      </c>
      <c r="J9" s="6"/>
    </row>
    <row r="10" spans="1:10" ht="7.5" customHeight="1" x14ac:dyDescent="0.15">
      <c r="D10" s="6"/>
      <c r="E10" s="2"/>
      <c r="F10" s="2"/>
      <c r="G10" s="2"/>
      <c r="J10" s="5"/>
    </row>
    <row r="11" spans="1:10" x14ac:dyDescent="0.15">
      <c r="A11" s="4">
        <v>2</v>
      </c>
      <c r="B11" s="13" t="s">
        <v>410</v>
      </c>
      <c r="C11" s="13"/>
      <c r="D11" s="499">
        <f>Prezzi!O26</f>
        <v>1</v>
      </c>
      <c r="E11" s="11" t="s">
        <v>1</v>
      </c>
      <c r="F11" s="11" t="s">
        <v>1</v>
      </c>
      <c r="G11" s="11" t="s">
        <v>1</v>
      </c>
    </row>
    <row r="12" spans="1:10" x14ac:dyDescent="0.15">
      <c r="A12" s="5"/>
      <c r="B12" s="282" t="s">
        <v>74</v>
      </c>
      <c r="C12" s="376"/>
      <c r="D12" s="376"/>
      <c r="E12" s="283"/>
      <c r="F12" s="283"/>
      <c r="G12" s="283"/>
    </row>
    <row r="13" spans="1:10" x14ac:dyDescent="0.15">
      <c r="A13" s="5"/>
      <c r="B13" s="282" t="s">
        <v>75</v>
      </c>
      <c r="C13" s="376"/>
      <c r="E13" s="283"/>
      <c r="F13" s="283"/>
      <c r="G13" s="283"/>
    </row>
    <row r="14" spans="1:10" x14ac:dyDescent="0.15">
      <c r="A14" s="5"/>
      <c r="B14" s="282" t="s">
        <v>76</v>
      </c>
      <c r="C14" s="376"/>
      <c r="D14" s="376"/>
      <c r="E14" s="283"/>
      <c r="F14" s="283"/>
      <c r="G14" s="283"/>
    </row>
    <row r="15" spans="1:10" ht="14" thickBot="1" x14ac:dyDescent="0.2">
      <c r="A15" s="5"/>
      <c r="B15" s="284" t="s">
        <v>77</v>
      </c>
      <c r="C15" s="376"/>
      <c r="D15" s="376"/>
      <c r="E15" s="285"/>
      <c r="F15" s="285"/>
      <c r="G15" s="285"/>
    </row>
    <row r="16" spans="1:10" x14ac:dyDescent="0.15">
      <c r="A16" s="7">
        <v>200</v>
      </c>
      <c r="B16" s="9"/>
      <c r="C16" s="689"/>
      <c r="D16" s="689" t="s">
        <v>2</v>
      </c>
      <c r="E16" s="54">
        <f>SUM(E11:E15)</f>
        <v>0</v>
      </c>
      <c r="F16" s="54">
        <f>SUM(F11:F15)</f>
        <v>0</v>
      </c>
      <c r="G16" s="54">
        <f>SUM(G11:G15)</f>
        <v>0</v>
      </c>
    </row>
    <row r="17" spans="1:12" ht="7.5" customHeight="1" x14ac:dyDescent="0.15">
      <c r="D17" s="6"/>
      <c r="E17" s="2"/>
      <c r="F17" s="2"/>
      <c r="G17" s="2"/>
    </row>
    <row r="18" spans="1:12" x14ac:dyDescent="0.15">
      <c r="A18" s="4">
        <v>3</v>
      </c>
      <c r="B18" s="13" t="s">
        <v>78</v>
      </c>
      <c r="C18" s="10" t="s">
        <v>493</v>
      </c>
      <c r="D18" s="696" t="s">
        <v>79</v>
      </c>
      <c r="E18" s="11" t="s">
        <v>1</v>
      </c>
      <c r="F18" s="11" t="s">
        <v>1</v>
      </c>
      <c r="G18" s="11" t="s">
        <v>1</v>
      </c>
    </row>
    <row r="19" spans="1:12" x14ac:dyDescent="0.15">
      <c r="A19" s="5"/>
      <c r="B19" s="5" t="s">
        <v>486</v>
      </c>
      <c r="C19" s="697">
        <v>0</v>
      </c>
      <c r="D19" s="383">
        <v>8.5000000000000006E-2</v>
      </c>
      <c r="E19" s="55">
        <f>E16*$D19</f>
        <v>0</v>
      </c>
      <c r="F19" s="55">
        <f>F16*$D19</f>
        <v>0</v>
      </c>
      <c r="G19" s="55">
        <f>G16*$D19</f>
        <v>0</v>
      </c>
      <c r="J19" s="536">
        <f>$C19*E19</f>
        <v>0</v>
      </c>
      <c r="K19" s="536">
        <f>$C19*F19</f>
        <v>0</v>
      </c>
      <c r="L19" s="536">
        <f>$C19*G19</f>
        <v>0</v>
      </c>
    </row>
    <row r="20" spans="1:12" x14ac:dyDescent="0.15">
      <c r="A20" s="5"/>
      <c r="B20" s="5" t="s">
        <v>487</v>
      </c>
      <c r="C20" s="698"/>
      <c r="D20" s="383"/>
      <c r="E20" s="55">
        <f>E19*$D20</f>
        <v>0</v>
      </c>
      <c r="F20" s="55">
        <f>F19*$D20</f>
        <v>0</v>
      </c>
      <c r="G20" s="55">
        <f>G19*$D20</f>
        <v>0</v>
      </c>
      <c r="J20" s="536">
        <f t="shared" ref="J20:L26" si="0">$C20*E20</f>
        <v>0</v>
      </c>
      <c r="K20" s="536">
        <f t="shared" si="0"/>
        <v>0</v>
      </c>
      <c r="L20" s="536">
        <f t="shared" si="0"/>
        <v>0</v>
      </c>
    </row>
    <row r="21" spans="1:12" x14ac:dyDescent="0.15">
      <c r="A21" s="5"/>
      <c r="B21" s="5" t="s">
        <v>488</v>
      </c>
      <c r="C21" s="697">
        <v>0</v>
      </c>
      <c r="D21" s="383"/>
      <c r="E21" s="55">
        <f>SUM(E12:E14)*$D21</f>
        <v>0</v>
      </c>
      <c r="F21" s="55">
        <f>SUM(F12:F14)*$D21</f>
        <v>0</v>
      </c>
      <c r="G21" s="55">
        <f>SUM(G12:G14)*$D21</f>
        <v>0</v>
      </c>
      <c r="J21" s="536">
        <f t="shared" si="0"/>
        <v>0</v>
      </c>
      <c r="K21" s="536">
        <f t="shared" si="0"/>
        <v>0</v>
      </c>
      <c r="L21" s="536">
        <f t="shared" si="0"/>
        <v>0</v>
      </c>
    </row>
    <row r="22" spans="1:12" x14ac:dyDescent="0.15">
      <c r="A22" s="5"/>
      <c r="B22" s="5" t="s">
        <v>489</v>
      </c>
      <c r="C22" s="697">
        <v>0</v>
      </c>
      <c r="D22" s="383">
        <v>0</v>
      </c>
      <c r="E22" s="55">
        <f>E13*$D22</f>
        <v>0</v>
      </c>
      <c r="F22" s="55">
        <f>F13*$D22</f>
        <v>0</v>
      </c>
      <c r="G22" s="55">
        <f>G13*$D22</f>
        <v>0</v>
      </c>
      <c r="J22" s="536">
        <f t="shared" si="0"/>
        <v>0</v>
      </c>
      <c r="K22" s="536">
        <f t="shared" si="0"/>
        <v>0</v>
      </c>
      <c r="L22" s="536">
        <f t="shared" si="0"/>
        <v>0</v>
      </c>
    </row>
    <row r="23" spans="1:12" x14ac:dyDescent="0.15">
      <c r="A23" s="5"/>
      <c r="B23" s="5" t="s">
        <v>490</v>
      </c>
      <c r="C23" s="697"/>
      <c r="D23" s="383">
        <v>0.01</v>
      </c>
      <c r="E23" s="55">
        <f>E16*$D23</f>
        <v>0</v>
      </c>
      <c r="F23" s="55">
        <f>F16*$D23</f>
        <v>0</v>
      </c>
      <c r="G23" s="55">
        <f>G16*$D23</f>
        <v>0</v>
      </c>
      <c r="J23" s="536">
        <f t="shared" si="0"/>
        <v>0</v>
      </c>
      <c r="K23" s="536">
        <f t="shared" si="0"/>
        <v>0</v>
      </c>
      <c r="L23" s="536">
        <f t="shared" si="0"/>
        <v>0</v>
      </c>
    </row>
    <row r="24" spans="1:12" x14ac:dyDescent="0.15">
      <c r="A24" s="5"/>
      <c r="B24" s="5" t="s">
        <v>491</v>
      </c>
      <c r="C24" s="697"/>
      <c r="D24" s="383">
        <v>0.02</v>
      </c>
      <c r="E24" s="55">
        <f>E16*$D24</f>
        <v>0</v>
      </c>
      <c r="F24" s="55">
        <f>F16*$D24</f>
        <v>0</v>
      </c>
      <c r="G24" s="55">
        <f>G16*$D24</f>
        <v>0</v>
      </c>
      <c r="J24" s="536">
        <f t="shared" si="0"/>
        <v>0</v>
      </c>
      <c r="K24" s="536">
        <f t="shared" si="0"/>
        <v>0</v>
      </c>
      <c r="L24" s="536">
        <f t="shared" si="0"/>
        <v>0</v>
      </c>
    </row>
    <row r="25" spans="1:12" x14ac:dyDescent="0.15">
      <c r="A25" s="5"/>
      <c r="B25" s="5" t="s">
        <v>492</v>
      </c>
      <c r="C25" s="698"/>
      <c r="D25" s="383"/>
      <c r="E25" s="55">
        <f>E16*$D25</f>
        <v>0</v>
      </c>
      <c r="F25" s="55">
        <f>F16*$D25</f>
        <v>0</v>
      </c>
      <c r="G25" s="55">
        <f>G16*$D25</f>
        <v>0</v>
      </c>
      <c r="J25" s="536">
        <f t="shared" si="0"/>
        <v>0</v>
      </c>
      <c r="K25" s="536">
        <f t="shared" si="0"/>
        <v>0</v>
      </c>
      <c r="L25" s="536">
        <f t="shared" si="0"/>
        <v>0</v>
      </c>
    </row>
    <row r="26" spans="1:12" ht="14" thickBot="1" x14ac:dyDescent="0.2">
      <c r="A26" s="5"/>
      <c r="B26" s="7" t="s">
        <v>485</v>
      </c>
      <c r="C26" s="698"/>
      <c r="D26" s="384" t="s">
        <v>502</v>
      </c>
      <c r="E26" s="56">
        <f>IF(D26="SI",(E19+E21+E22)/-1,0)</f>
        <v>0</v>
      </c>
      <c r="F26" s="56">
        <f>IF(D26="SI",(F19+F21+F22)/-1,0)</f>
        <v>0</v>
      </c>
      <c r="G26" s="56">
        <f>0</f>
        <v>0</v>
      </c>
      <c r="J26" s="690">
        <f t="shared" si="0"/>
        <v>0</v>
      </c>
      <c r="K26" s="690">
        <f t="shared" si="0"/>
        <v>0</v>
      </c>
      <c r="L26" s="690">
        <f t="shared" si="0"/>
        <v>0</v>
      </c>
    </row>
    <row r="27" spans="1:12" x14ac:dyDescent="0.15">
      <c r="A27" s="7">
        <v>300</v>
      </c>
      <c r="B27" s="9"/>
      <c r="C27" s="689"/>
      <c r="D27" s="689" t="s">
        <v>2</v>
      </c>
      <c r="E27" s="54">
        <f>SUM(E18:E26)</f>
        <v>0</v>
      </c>
      <c r="F27" s="54">
        <f>SUM(F18:F26)</f>
        <v>0</v>
      </c>
      <c r="G27" s="54">
        <f>SUM(G18:G26)</f>
        <v>0</v>
      </c>
      <c r="J27" s="536">
        <f>SUM(J19:J26)</f>
        <v>0</v>
      </c>
      <c r="K27" s="536">
        <f>SUM(K19:K26)</f>
        <v>0</v>
      </c>
      <c r="L27" s="536">
        <f>SUM(L19:L26)</f>
        <v>0</v>
      </c>
    </row>
    <row r="28" spans="1:12" ht="7.5" customHeight="1" x14ac:dyDescent="0.15">
      <c r="D28" s="6"/>
      <c r="E28" s="2"/>
      <c r="F28" s="2"/>
      <c r="G28" s="2"/>
    </row>
    <row r="29" spans="1:12" x14ac:dyDescent="0.15">
      <c r="A29" s="4">
        <v>4</v>
      </c>
      <c r="B29" s="13" t="s">
        <v>87</v>
      </c>
      <c r="C29" s="50"/>
      <c r="D29" s="27"/>
      <c r="E29" s="11" t="s">
        <v>1</v>
      </c>
      <c r="F29" s="11" t="s">
        <v>1</v>
      </c>
      <c r="G29" s="11" t="s">
        <v>1</v>
      </c>
    </row>
    <row r="30" spans="1:12" x14ac:dyDescent="0.15">
      <c r="A30" s="5"/>
      <c r="B30" s="282" t="s">
        <v>88</v>
      </c>
      <c r="C30" s="376"/>
      <c r="D30" s="376"/>
      <c r="E30" s="283"/>
      <c r="F30" s="283"/>
      <c r="G30" s="283"/>
    </row>
    <row r="31" spans="1:12" x14ac:dyDescent="0.15">
      <c r="A31" s="5"/>
      <c r="B31" s="282" t="s">
        <v>89</v>
      </c>
      <c r="C31" s="376"/>
      <c r="D31" s="376"/>
      <c r="E31" s="283"/>
      <c r="F31" s="283"/>
      <c r="G31" s="283"/>
    </row>
    <row r="32" spans="1:12" ht="14" thickBot="1" x14ac:dyDescent="0.2">
      <c r="A32" s="5"/>
      <c r="B32" s="284" t="s">
        <v>90</v>
      </c>
      <c r="C32" s="376"/>
      <c r="D32" s="376"/>
      <c r="E32" s="285"/>
      <c r="F32" s="285"/>
      <c r="G32" s="285"/>
    </row>
    <row r="33" spans="1:7" x14ac:dyDescent="0.15">
      <c r="A33" s="7">
        <v>400</v>
      </c>
      <c r="B33" s="9"/>
      <c r="C33" s="689"/>
      <c r="D33" s="689" t="s">
        <v>2</v>
      </c>
      <c r="E33" s="54">
        <f>SUM(E29:E32)</f>
        <v>0</v>
      </c>
      <c r="F33" s="54">
        <f>SUM(F29:F32)</f>
        <v>0</v>
      </c>
      <c r="G33" s="54">
        <f>SUM(G29:G32)</f>
        <v>0</v>
      </c>
    </row>
    <row r="34" spans="1:7" ht="7.5" customHeight="1" x14ac:dyDescent="0.15">
      <c r="D34" s="6"/>
      <c r="E34" s="2"/>
      <c r="F34" s="2"/>
      <c r="G34" s="2"/>
    </row>
    <row r="35" spans="1:7" x14ac:dyDescent="0.15">
      <c r="A35" s="4">
        <v>5</v>
      </c>
      <c r="B35" s="13" t="s">
        <v>91</v>
      </c>
      <c r="C35" s="50"/>
      <c r="D35" s="27"/>
      <c r="E35" s="11" t="s">
        <v>1</v>
      </c>
      <c r="F35" s="11" t="s">
        <v>1</v>
      </c>
      <c r="G35" s="11" t="s">
        <v>1</v>
      </c>
    </row>
    <row r="36" spans="1:7" x14ac:dyDescent="0.15">
      <c r="A36" s="5"/>
      <c r="B36" s="282" t="s">
        <v>92</v>
      </c>
      <c r="C36" s="376"/>
      <c r="D36" s="376"/>
      <c r="E36" s="283"/>
      <c r="F36" s="283"/>
      <c r="G36" s="283"/>
    </row>
    <row r="37" spans="1:7" x14ac:dyDescent="0.15">
      <c r="A37" s="5"/>
      <c r="B37" s="282" t="s">
        <v>93</v>
      </c>
      <c r="C37" s="376"/>
      <c r="D37" s="376"/>
      <c r="E37" s="283"/>
      <c r="F37" s="283"/>
      <c r="G37" s="283"/>
    </row>
    <row r="38" spans="1:7" ht="14" thickBot="1" x14ac:dyDescent="0.2">
      <c r="A38" s="5"/>
      <c r="B38" s="284" t="s">
        <v>90</v>
      </c>
      <c r="C38" s="376"/>
      <c r="D38" s="376"/>
      <c r="E38" s="285"/>
      <c r="F38" s="285"/>
      <c r="G38" s="285"/>
    </row>
    <row r="39" spans="1:7" x14ac:dyDescent="0.15">
      <c r="A39" s="7">
        <v>500</v>
      </c>
      <c r="B39" s="9"/>
      <c r="C39" s="689"/>
      <c r="D39" s="689" t="s">
        <v>2</v>
      </c>
      <c r="E39" s="54">
        <f>SUM(E35:E38)</f>
        <v>0</v>
      </c>
      <c r="F39" s="54">
        <f>SUM(F35:F38)</f>
        <v>0</v>
      </c>
      <c r="G39" s="54">
        <f>SUM(G35:G38)</f>
        <v>0</v>
      </c>
    </row>
    <row r="40" spans="1:7" ht="7.5" customHeight="1" x14ac:dyDescent="0.15">
      <c r="D40" s="6"/>
      <c r="E40" s="2"/>
      <c r="F40" s="2"/>
      <c r="G40" s="2"/>
    </row>
    <row r="41" spans="1:7" x14ac:dyDescent="0.15">
      <c r="A41" s="4">
        <v>6</v>
      </c>
      <c r="B41" s="13" t="s">
        <v>56</v>
      </c>
      <c r="C41" s="50"/>
      <c r="D41" s="27"/>
      <c r="E41" s="11" t="s">
        <v>1</v>
      </c>
      <c r="F41" s="11" t="s">
        <v>1</v>
      </c>
      <c r="G41" s="11" t="s">
        <v>1</v>
      </c>
    </row>
    <row r="42" spans="1:7" x14ac:dyDescent="0.15">
      <c r="A42" s="5"/>
      <c r="B42" s="282" t="s">
        <v>94</v>
      </c>
      <c r="C42" s="376"/>
      <c r="D42" s="376"/>
      <c r="E42" s="283"/>
      <c r="F42" s="283"/>
      <c r="G42" s="283"/>
    </row>
    <row r="43" spans="1:7" ht="14" thickBot="1" x14ac:dyDescent="0.2">
      <c r="A43" s="5"/>
      <c r="B43" s="284" t="s">
        <v>90</v>
      </c>
      <c r="C43" s="376"/>
      <c r="D43" s="376"/>
      <c r="E43" s="285"/>
      <c r="F43" s="285"/>
      <c r="G43" s="285"/>
    </row>
    <row r="44" spans="1:7" x14ac:dyDescent="0.15">
      <c r="A44" s="7">
        <v>600</v>
      </c>
      <c r="B44" s="9"/>
      <c r="C44" s="689"/>
      <c r="D44" s="689" t="s">
        <v>2</v>
      </c>
      <c r="E44" s="54">
        <f>SUM(E41:E43)</f>
        <v>0</v>
      </c>
      <c r="F44" s="54">
        <f>SUM(F41:F43)</f>
        <v>0</v>
      </c>
      <c r="G44" s="54">
        <f>SUM(G41:G43)</f>
        <v>0</v>
      </c>
    </row>
    <row r="45" spans="1:7" ht="7.5" customHeight="1" x14ac:dyDescent="0.15">
      <c r="D45" s="6"/>
      <c r="E45" s="2"/>
      <c r="F45" s="2"/>
      <c r="G45" s="2"/>
    </row>
    <row r="46" spans="1:7" x14ac:dyDescent="0.15">
      <c r="A46" s="4">
        <v>7</v>
      </c>
      <c r="B46" s="13" t="s">
        <v>95</v>
      </c>
      <c r="C46" s="50"/>
      <c r="D46" s="27"/>
      <c r="E46" s="11" t="s">
        <v>1</v>
      </c>
      <c r="F46" s="11" t="s">
        <v>1</v>
      </c>
      <c r="G46" s="11" t="s">
        <v>1</v>
      </c>
    </row>
    <row r="47" spans="1:7" x14ac:dyDescent="0.15">
      <c r="A47" s="5"/>
      <c r="B47" s="282" t="s">
        <v>96</v>
      </c>
      <c r="C47" s="376"/>
      <c r="D47" s="376"/>
      <c r="E47" s="283"/>
      <c r="F47" s="283"/>
      <c r="G47" s="283"/>
    </row>
    <row r="48" spans="1:7" x14ac:dyDescent="0.15">
      <c r="A48" s="5"/>
      <c r="B48" s="282" t="s">
        <v>97</v>
      </c>
      <c r="C48" s="376"/>
      <c r="D48" s="376"/>
      <c r="E48" s="283"/>
      <c r="F48" s="283"/>
      <c r="G48" s="283"/>
    </row>
    <row r="49" spans="1:7" x14ac:dyDescent="0.15">
      <c r="A49" s="5"/>
      <c r="B49" s="282" t="s">
        <v>98</v>
      </c>
      <c r="C49" s="376"/>
      <c r="D49" s="376"/>
      <c r="E49" s="283"/>
      <c r="F49" s="283"/>
      <c r="G49" s="283"/>
    </row>
    <row r="50" spans="1:7" x14ac:dyDescent="0.15">
      <c r="A50" s="5"/>
      <c r="B50" s="282" t="s">
        <v>99</v>
      </c>
      <c r="C50" s="376"/>
      <c r="D50" s="376"/>
      <c r="E50" s="283"/>
      <c r="F50" s="283"/>
      <c r="G50" s="283"/>
    </row>
    <row r="51" spans="1:7" x14ac:dyDescent="0.15">
      <c r="A51" s="5"/>
      <c r="B51" s="282" t="s">
        <v>100</v>
      </c>
      <c r="C51" s="376"/>
      <c r="D51" s="376"/>
      <c r="E51" s="283"/>
      <c r="F51" s="283"/>
      <c r="G51" s="283"/>
    </row>
    <row r="52" spans="1:7" ht="14" thickBot="1" x14ac:dyDescent="0.2">
      <c r="A52" s="5"/>
      <c r="B52" s="284" t="s">
        <v>101</v>
      </c>
      <c r="C52" s="376"/>
      <c r="D52" s="376"/>
      <c r="E52" s="285"/>
      <c r="F52" s="285"/>
      <c r="G52" s="285"/>
    </row>
    <row r="53" spans="1:7" x14ac:dyDescent="0.15">
      <c r="A53" s="7">
        <v>700</v>
      </c>
      <c r="B53" s="9"/>
      <c r="C53" s="689"/>
      <c r="D53" s="689" t="s">
        <v>2</v>
      </c>
      <c r="E53" s="54">
        <f>SUM(E46:E52)</f>
        <v>0</v>
      </c>
      <c r="F53" s="54">
        <f>SUM(F46:F52)</f>
        <v>0</v>
      </c>
      <c r="G53" s="54">
        <f>SUM(G46:G52)</f>
        <v>0</v>
      </c>
    </row>
    <row r="54" spans="1:7" ht="7.5" customHeight="1" x14ac:dyDescent="0.15">
      <c r="D54" s="6"/>
    </row>
    <row r="55" spans="1:7" x14ac:dyDescent="0.15">
      <c r="A55" s="4">
        <v>8</v>
      </c>
      <c r="B55" s="13" t="s">
        <v>102</v>
      </c>
      <c r="C55" s="50"/>
      <c r="D55" s="27"/>
      <c r="E55" s="11" t="s">
        <v>1</v>
      </c>
      <c r="F55" s="11" t="s">
        <v>1</v>
      </c>
      <c r="G55" s="11" t="s">
        <v>1</v>
      </c>
    </row>
    <row r="56" spans="1:7" x14ac:dyDescent="0.15">
      <c r="A56" s="5"/>
      <c r="B56" s="282" t="s">
        <v>103</v>
      </c>
      <c r="C56" s="376"/>
      <c r="D56" s="376"/>
      <c r="E56" s="283"/>
      <c r="F56" s="283"/>
      <c r="G56" s="283"/>
    </row>
    <row r="57" spans="1:7" x14ac:dyDescent="0.15">
      <c r="A57" s="5"/>
      <c r="B57" s="282" t="s">
        <v>104</v>
      </c>
      <c r="C57" s="376"/>
      <c r="D57" s="376"/>
      <c r="E57" s="283"/>
      <c r="F57" s="283"/>
      <c r="G57" s="283"/>
    </row>
    <row r="58" spans="1:7" ht="14" thickBot="1" x14ac:dyDescent="0.2">
      <c r="A58" s="5"/>
      <c r="B58" s="284" t="s">
        <v>105</v>
      </c>
      <c r="C58" s="376"/>
      <c r="D58" s="376"/>
      <c r="E58" s="285"/>
      <c r="F58" s="285"/>
      <c r="G58" s="285"/>
    </row>
    <row r="59" spans="1:7" x14ac:dyDescent="0.15">
      <c r="A59" s="7">
        <v>800</v>
      </c>
      <c r="B59" s="9"/>
      <c r="C59" s="689"/>
      <c r="D59" s="689" t="s">
        <v>2</v>
      </c>
      <c r="E59" s="54">
        <f>SUM(E55:E58)</f>
        <v>0</v>
      </c>
      <c r="F59" s="54">
        <f>SUM(F55:F58)</f>
        <v>0</v>
      </c>
      <c r="G59" s="54">
        <f>SUM(G55:G58)</f>
        <v>0</v>
      </c>
    </row>
    <row r="60" spans="1:7" x14ac:dyDescent="0.15">
      <c r="A60" s="713" t="s">
        <v>504</v>
      </c>
      <c r="B60" s="12"/>
      <c r="C60" s="12"/>
      <c r="D60" s="12"/>
      <c r="E60" s="101"/>
      <c r="F60" s="101"/>
      <c r="G60" s="101"/>
    </row>
    <row r="61" spans="1:7" ht="16" x14ac:dyDescent="0.2">
      <c r="A61" s="3" t="s">
        <v>64</v>
      </c>
      <c r="B61" s="12"/>
      <c r="C61" s="12"/>
      <c r="D61" s="12"/>
      <c r="E61" s="29"/>
      <c r="F61" s="29"/>
      <c r="G61" s="714" t="str">
        <f>MID([1]Persona!$D$12,1,35)</f>
        <v/>
      </c>
    </row>
    <row r="62" spans="1:7" ht="12.75" customHeight="1" x14ac:dyDescent="0.15">
      <c r="D62" s="6"/>
      <c r="E62" s="28" t="s">
        <v>65</v>
      </c>
      <c r="F62" s="28" t="s">
        <v>66</v>
      </c>
      <c r="G62" s="28" t="s">
        <v>67</v>
      </c>
    </row>
    <row r="63" spans="1:7" x14ac:dyDescent="0.15">
      <c r="A63" s="4">
        <v>9</v>
      </c>
      <c r="B63" s="13" t="s">
        <v>106</v>
      </c>
      <c r="C63" s="50"/>
      <c r="D63" s="27"/>
      <c r="E63" s="11" t="s">
        <v>1</v>
      </c>
      <c r="F63" s="11" t="s">
        <v>1</v>
      </c>
      <c r="G63" s="11" t="s">
        <v>1</v>
      </c>
    </row>
    <row r="64" spans="1:7" x14ac:dyDescent="0.15">
      <c r="A64" s="5"/>
      <c r="B64" s="282" t="s">
        <v>107</v>
      </c>
      <c r="C64" s="376"/>
      <c r="D64" s="376"/>
      <c r="E64" s="283"/>
      <c r="F64" s="283"/>
      <c r="G64" s="283"/>
    </row>
    <row r="65" spans="1:7" ht="14" thickBot="1" x14ac:dyDescent="0.2">
      <c r="A65" s="5"/>
      <c r="B65" s="284" t="s">
        <v>108</v>
      </c>
      <c r="C65" s="376"/>
      <c r="D65" s="376"/>
      <c r="E65" s="285"/>
      <c r="F65" s="285"/>
      <c r="G65" s="285"/>
    </row>
    <row r="66" spans="1:7" x14ac:dyDescent="0.15">
      <c r="A66" s="7">
        <v>900</v>
      </c>
      <c r="B66" s="9"/>
      <c r="C66" s="689"/>
      <c r="D66" s="689" t="s">
        <v>2</v>
      </c>
      <c r="E66" s="54">
        <f>SUM(E63:E65)</f>
        <v>0</v>
      </c>
      <c r="F66" s="54">
        <f>SUM(F63:F65)</f>
        <v>0</v>
      </c>
      <c r="G66" s="54">
        <f>SUM(G63:G65)</f>
        <v>0</v>
      </c>
    </row>
    <row r="67" spans="1:7" ht="7.5" customHeight="1" x14ac:dyDescent="0.15">
      <c r="D67" s="6"/>
    </row>
    <row r="68" spans="1:7" x14ac:dyDescent="0.15">
      <c r="A68" s="4">
        <v>10</v>
      </c>
      <c r="B68" s="13" t="s">
        <v>109</v>
      </c>
      <c r="C68" s="50"/>
      <c r="D68" s="27"/>
      <c r="E68" s="11" t="s">
        <v>1</v>
      </c>
      <c r="F68" s="11" t="s">
        <v>1</v>
      </c>
      <c r="G68" s="11" t="s">
        <v>1</v>
      </c>
    </row>
    <row r="69" spans="1:7" x14ac:dyDescent="0.15">
      <c r="A69" s="5"/>
      <c r="B69" s="282" t="s">
        <v>110</v>
      </c>
      <c r="C69" s="376"/>
      <c r="D69" s="376"/>
      <c r="E69" s="283"/>
      <c r="F69" s="283"/>
      <c r="G69" s="283"/>
    </row>
    <row r="70" spans="1:7" x14ac:dyDescent="0.15">
      <c r="A70" s="5"/>
      <c r="B70" s="282" t="s">
        <v>111</v>
      </c>
      <c r="C70" s="376"/>
      <c r="D70" s="376"/>
      <c r="E70" s="283"/>
      <c r="F70" s="283"/>
      <c r="G70" s="283"/>
    </row>
    <row r="71" spans="1:7" x14ac:dyDescent="0.15">
      <c r="A71" s="5"/>
      <c r="B71" s="282" t="s">
        <v>112</v>
      </c>
      <c r="C71" s="376"/>
      <c r="D71" s="376"/>
      <c r="E71" s="283"/>
      <c r="F71" s="283"/>
      <c r="G71" s="283"/>
    </row>
    <row r="72" spans="1:7" ht="14" thickBot="1" x14ac:dyDescent="0.2">
      <c r="A72" s="5"/>
      <c r="B72" s="284" t="s">
        <v>113</v>
      </c>
      <c r="C72" s="376"/>
      <c r="D72" s="376"/>
      <c r="E72" s="285"/>
      <c r="F72" s="285"/>
      <c r="G72" s="285"/>
    </row>
    <row r="73" spans="1:7" x14ac:dyDescent="0.15">
      <c r="A73" s="7">
        <v>1000</v>
      </c>
      <c r="B73" s="9"/>
      <c r="C73" s="689"/>
      <c r="D73" s="689" t="s">
        <v>2</v>
      </c>
      <c r="E73" s="54">
        <f>SUM(E68:E72)</f>
        <v>0</v>
      </c>
      <c r="F73" s="54">
        <f>SUM(F68:F72)</f>
        <v>0</v>
      </c>
      <c r="G73" s="54">
        <f>SUM(G68:G72)</f>
        <v>0</v>
      </c>
    </row>
    <row r="74" spans="1:7" ht="7.5" customHeight="1" x14ac:dyDescent="0.15">
      <c r="D74" s="6"/>
    </row>
    <row r="75" spans="1:7" x14ac:dyDescent="0.15">
      <c r="A75" s="4">
        <v>11</v>
      </c>
      <c r="B75" s="13" t="s">
        <v>114</v>
      </c>
      <c r="C75" s="50"/>
      <c r="D75" s="27"/>
      <c r="E75" s="11" t="s">
        <v>1</v>
      </c>
      <c r="F75" s="11" t="s">
        <v>1</v>
      </c>
      <c r="G75" s="11" t="s">
        <v>1</v>
      </c>
    </row>
    <row r="76" spans="1:7" x14ac:dyDescent="0.15">
      <c r="A76" s="5"/>
      <c r="B76" s="282" t="s">
        <v>115</v>
      </c>
      <c r="C76" s="376"/>
      <c r="D76" s="376"/>
      <c r="E76" s="283"/>
      <c r="F76" s="283"/>
      <c r="G76" s="283"/>
    </row>
    <row r="77" spans="1:7" x14ac:dyDescent="0.15">
      <c r="A77" s="5"/>
      <c r="B77" s="282" t="s">
        <v>116</v>
      </c>
      <c r="C77" s="376"/>
      <c r="D77" s="376"/>
      <c r="E77" s="283"/>
      <c r="F77" s="283"/>
      <c r="G77" s="283"/>
    </row>
    <row r="78" spans="1:7" x14ac:dyDescent="0.15">
      <c r="A78" s="5"/>
      <c r="B78" s="282" t="s">
        <v>117</v>
      </c>
      <c r="C78" s="376"/>
      <c r="D78" s="376"/>
      <c r="E78" s="283"/>
      <c r="F78" s="283"/>
      <c r="G78" s="283"/>
    </row>
    <row r="79" spans="1:7" x14ac:dyDescent="0.15">
      <c r="A79" s="5"/>
      <c r="B79" s="282" t="s">
        <v>118</v>
      </c>
      <c r="C79" s="376"/>
      <c r="D79" s="376"/>
      <c r="E79" s="283"/>
      <c r="F79" s="283"/>
      <c r="G79" s="283"/>
    </row>
    <row r="80" spans="1:7" x14ac:dyDescent="0.15">
      <c r="A80" s="5"/>
      <c r="B80" s="282" t="s">
        <v>119</v>
      </c>
      <c r="C80" s="376"/>
      <c r="D80" s="376"/>
      <c r="E80" s="283"/>
      <c r="F80" s="283"/>
      <c r="G80" s="283"/>
    </row>
    <row r="81" spans="1:11" ht="14" thickBot="1" x14ac:dyDescent="0.2">
      <c r="A81" s="5"/>
      <c r="B81" s="284" t="s">
        <v>120</v>
      </c>
      <c r="C81" s="376"/>
      <c r="D81" s="376"/>
      <c r="E81" s="285"/>
      <c r="F81" s="285"/>
      <c r="G81" s="285"/>
    </row>
    <row r="82" spans="1:11" x14ac:dyDescent="0.15">
      <c r="A82" s="7">
        <v>1010</v>
      </c>
      <c r="B82" s="9"/>
      <c r="C82" s="689"/>
      <c r="D82" s="689" t="s">
        <v>2</v>
      </c>
      <c r="E82" s="54">
        <f>SUM(E75:E81)</f>
        <v>0</v>
      </c>
      <c r="F82" s="54">
        <f>SUM(F75:F81)</f>
        <v>0</v>
      </c>
      <c r="G82" s="54">
        <f>SUM(G75:G81)</f>
        <v>0</v>
      </c>
    </row>
    <row r="83" spans="1:11" ht="7.5" customHeight="1" x14ac:dyDescent="0.15">
      <c r="D83" s="6"/>
    </row>
    <row r="84" spans="1:11" x14ac:dyDescent="0.15">
      <c r="A84" s="4">
        <v>12</v>
      </c>
      <c r="B84" s="13" t="s">
        <v>121</v>
      </c>
      <c r="C84" s="50"/>
      <c r="D84" s="27"/>
      <c r="E84" s="11" t="s">
        <v>1</v>
      </c>
      <c r="F84" s="11" t="s">
        <v>1</v>
      </c>
      <c r="G84" s="11" t="s">
        <v>1</v>
      </c>
    </row>
    <row r="85" spans="1:11" x14ac:dyDescent="0.15">
      <c r="A85" s="5"/>
      <c r="B85" s="282" t="s">
        <v>122</v>
      </c>
      <c r="C85" s="376"/>
      <c r="D85" s="376"/>
      <c r="E85" s="283"/>
      <c r="F85" s="283"/>
      <c r="G85" s="283"/>
    </row>
    <row r="86" spans="1:11" x14ac:dyDescent="0.15">
      <c r="A86" s="5"/>
      <c r="B86" s="282" t="s">
        <v>123</v>
      </c>
      <c r="C86" s="376"/>
      <c r="D86" s="376"/>
      <c r="E86" s="283"/>
      <c r="F86" s="283"/>
      <c r="G86" s="283"/>
    </row>
    <row r="87" spans="1:11" x14ac:dyDescent="0.15">
      <c r="A87" s="5"/>
      <c r="B87" s="282" t="s">
        <v>124</v>
      </c>
      <c r="C87" s="376"/>
      <c r="D87" s="376"/>
      <c r="E87" s="283"/>
      <c r="F87" s="283"/>
      <c r="G87" s="283"/>
    </row>
    <row r="88" spans="1:11" x14ac:dyDescent="0.15">
      <c r="A88" s="5"/>
      <c r="B88" s="282" t="s">
        <v>125</v>
      </c>
      <c r="C88" s="376"/>
      <c r="D88" s="376"/>
      <c r="E88" s="283"/>
      <c r="F88" s="283"/>
      <c r="G88" s="283"/>
    </row>
    <row r="89" spans="1:11" ht="14" thickBot="1" x14ac:dyDescent="0.2">
      <c r="A89" s="5"/>
      <c r="B89" s="284" t="s">
        <v>126</v>
      </c>
      <c r="C89" s="376"/>
      <c r="D89" s="376"/>
      <c r="E89" s="285"/>
      <c r="F89" s="285"/>
      <c r="G89" s="285"/>
    </row>
    <row r="90" spans="1:11" x14ac:dyDescent="0.15">
      <c r="A90" s="7">
        <v>1020</v>
      </c>
      <c r="B90" s="9"/>
      <c r="C90" s="689"/>
      <c r="D90" s="689" t="s">
        <v>2</v>
      </c>
      <c r="E90" s="54">
        <f>SUM(E84:E89)</f>
        <v>0</v>
      </c>
      <c r="F90" s="54">
        <f>SUM(F84:F89)</f>
        <v>0</v>
      </c>
      <c r="G90" s="54">
        <f>SUM(G84:G89)</f>
        <v>0</v>
      </c>
      <c r="I90" s="120"/>
      <c r="J90" s="120" t="s">
        <v>444</v>
      </c>
      <c r="K90" s="120" t="s">
        <v>445</v>
      </c>
    </row>
    <row r="91" spans="1:11" ht="7.5" customHeight="1" x14ac:dyDescent="0.15">
      <c r="D91" s="6"/>
      <c r="I91" s="120"/>
      <c r="J91" s="120"/>
      <c r="K91" s="120"/>
    </row>
    <row r="92" spans="1:11" x14ac:dyDescent="0.15">
      <c r="A92" s="4">
        <v>13</v>
      </c>
      <c r="B92" s="13" t="s">
        <v>127</v>
      </c>
      <c r="C92" s="50"/>
      <c r="D92" s="27"/>
      <c r="E92" s="11" t="s">
        <v>1</v>
      </c>
      <c r="F92" s="11" t="s">
        <v>1</v>
      </c>
      <c r="G92" s="11" t="s">
        <v>1</v>
      </c>
      <c r="I92" s="120"/>
      <c r="J92" s="536">
        <f>Necessità!E48</f>
        <v>0</v>
      </c>
      <c r="K92" s="120"/>
    </row>
    <row r="93" spans="1:11" x14ac:dyDescent="0.15">
      <c r="A93" s="5"/>
      <c r="B93" s="282" t="s">
        <v>128</v>
      </c>
      <c r="C93" s="376"/>
      <c r="D93" s="376"/>
      <c r="E93" s="283"/>
      <c r="F93" s="283"/>
      <c r="G93" s="283"/>
      <c r="I93" s="274" t="s">
        <v>160</v>
      </c>
      <c r="J93" s="120">
        <f>(Necessità!E48*Necessità!D48)</f>
        <v>0</v>
      </c>
      <c r="K93" s="120">
        <f>(Necessità!E48*Necessità!C48)</f>
        <v>0</v>
      </c>
    </row>
    <row r="94" spans="1:11" x14ac:dyDescent="0.15">
      <c r="A94" s="5"/>
      <c r="B94" s="282" t="s">
        <v>129</v>
      </c>
      <c r="C94" s="376"/>
      <c r="D94" s="376"/>
      <c r="E94" s="283"/>
      <c r="F94" s="283"/>
      <c r="G94" s="283"/>
      <c r="I94" s="274" t="s">
        <v>161</v>
      </c>
      <c r="J94" s="120">
        <f>(J92-K93)*Necessità!D48</f>
        <v>0</v>
      </c>
      <c r="K94" s="120">
        <f>(Necessità!E48*Necessità!C48)</f>
        <v>0</v>
      </c>
    </row>
    <row r="95" spans="1:11" x14ac:dyDescent="0.15">
      <c r="A95" s="5"/>
      <c r="B95" s="282" t="s">
        <v>474</v>
      </c>
      <c r="C95" s="376"/>
      <c r="D95" s="376"/>
      <c r="E95" s="283"/>
      <c r="F95" s="283"/>
      <c r="G95" s="283"/>
      <c r="I95" s="274" t="s">
        <v>162</v>
      </c>
      <c r="J95" s="120">
        <f>(J92-K93-K94)*Necessità!D48</f>
        <v>0</v>
      </c>
      <c r="K95" s="120">
        <f>(Necessità!E48*Necessità!C48)</f>
        <v>0</v>
      </c>
    </row>
    <row r="96" spans="1:11" ht="14" thickBot="1" x14ac:dyDescent="0.2">
      <c r="A96" s="5"/>
      <c r="B96" s="605" t="s">
        <v>475</v>
      </c>
      <c r="C96" s="604"/>
      <c r="D96" s="604"/>
      <c r="E96" s="56">
        <f>J93+K93</f>
        <v>0</v>
      </c>
      <c r="F96" s="56">
        <f>J94+K94</f>
        <v>0</v>
      </c>
      <c r="G96" s="56">
        <f>J95+K95</f>
        <v>0</v>
      </c>
    </row>
    <row r="97" spans="1:10" x14ac:dyDescent="0.15">
      <c r="A97" s="7">
        <v>1030</v>
      </c>
      <c r="B97" s="9"/>
      <c r="C97" s="689"/>
      <c r="D97" s="689" t="s">
        <v>2</v>
      </c>
      <c r="E97" s="54">
        <f>SUM(E92:E96)</f>
        <v>0</v>
      </c>
      <c r="F97" s="54">
        <f>SUM(F92:F96)</f>
        <v>0</v>
      </c>
      <c r="G97" s="54">
        <f>SUM(G92:G96)</f>
        <v>0</v>
      </c>
    </row>
    <row r="98" spans="1:10" ht="7.5" customHeight="1" x14ac:dyDescent="0.15">
      <c r="D98" s="6"/>
    </row>
    <row r="99" spans="1:10" ht="13.5" customHeight="1" thickBot="1" x14ac:dyDescent="0.2">
      <c r="A99" s="229">
        <v>14</v>
      </c>
      <c r="B99" s="221" t="s">
        <v>130</v>
      </c>
      <c r="C99" s="687"/>
      <c r="D99" s="222"/>
      <c r="E99" s="11" t="s">
        <v>1</v>
      </c>
      <c r="F99" s="11" t="s">
        <v>1</v>
      </c>
      <c r="G99" s="11" t="s">
        <v>1</v>
      </c>
    </row>
    <row r="100" spans="1:10" ht="13.5" customHeight="1" thickBot="1" x14ac:dyDescent="0.2">
      <c r="A100" s="230"/>
      <c r="B100" s="7" t="s">
        <v>131</v>
      </c>
      <c r="C100" s="6"/>
      <c r="D100" s="379">
        <v>4.4999999999999998E-2</v>
      </c>
      <c r="E100" s="537">
        <f>IF(D100="",0,(Circolante!D8+Circolante!D15+Circolante!D22+Circolante!D31)*Costi!D100)</f>
        <v>0</v>
      </c>
      <c r="F100" s="538">
        <f>IF(D100="",0,Necessità!E33*Costi!D100)</f>
        <v>0</v>
      </c>
      <c r="G100" s="538">
        <f>IF(D100="",0,Necessità!E33*Costi!D100)</f>
        <v>0</v>
      </c>
    </row>
    <row r="101" spans="1:10" ht="13.5" customHeight="1" x14ac:dyDescent="0.15">
      <c r="A101" s="231">
        <v>1040</v>
      </c>
      <c r="B101" s="9"/>
      <c r="C101" s="689"/>
      <c r="D101" s="689" t="s">
        <v>2</v>
      </c>
      <c r="E101" s="54">
        <f>E100</f>
        <v>0</v>
      </c>
      <c r="F101" s="54">
        <f>F100</f>
        <v>0</v>
      </c>
      <c r="G101" s="54">
        <f>G100</f>
        <v>0</v>
      </c>
    </row>
    <row r="102" spans="1:10" ht="7.5" customHeight="1" x14ac:dyDescent="0.15">
      <c r="D102" s="6"/>
    </row>
    <row r="103" spans="1:10" x14ac:dyDescent="0.15">
      <c r="A103" s="4">
        <v>15</v>
      </c>
      <c r="B103" s="13" t="s">
        <v>132</v>
      </c>
      <c r="C103" s="50"/>
      <c r="D103" s="688" t="s">
        <v>79</v>
      </c>
      <c r="E103" s="11" t="s">
        <v>1</v>
      </c>
      <c r="F103" s="11" t="s">
        <v>1</v>
      </c>
      <c r="G103" s="11" t="s">
        <v>1</v>
      </c>
    </row>
    <row r="104" spans="1:10" x14ac:dyDescent="0.15">
      <c r="A104" s="5"/>
      <c r="B104" s="4" t="s">
        <v>494</v>
      </c>
      <c r="C104" s="6"/>
      <c r="D104" s="693">
        <f>IF(Prezzi!$C$35="",0.02,IF(Prezzi!$C$35&gt;0.25,0.1,0.02))</f>
        <v>0.1</v>
      </c>
      <c r="E104" s="55">
        <f>(Necessità!E16+Necessità!E17)*Costi!D104</f>
        <v>0</v>
      </c>
      <c r="F104" s="55">
        <f>(Necessità!E16+Necessità!E17-E104)*Costi!D104</f>
        <v>0</v>
      </c>
      <c r="G104" s="55">
        <f>(Necessità!E16+Necessità!E17-E104-F104)*Costi!D104</f>
        <v>0</v>
      </c>
    </row>
    <row r="105" spans="1:10" x14ac:dyDescent="0.15">
      <c r="A105" s="5"/>
      <c r="B105" s="5" t="s">
        <v>133</v>
      </c>
      <c r="C105" s="6"/>
      <c r="D105" s="694">
        <f>Prezzi!$C$35</f>
        <v>0.3</v>
      </c>
      <c r="E105" s="55">
        <f>(Necessità!E18+Necessità!E19)*Costi!D105</f>
        <v>0</v>
      </c>
      <c r="F105" s="55">
        <f>(Necessità!E18+Necessità!E19-E105)*Costi!D105</f>
        <v>0</v>
      </c>
      <c r="G105" s="55">
        <f>(Necessità!E18+Necessità!E19-E105-F105)*Costi!D105</f>
        <v>0</v>
      </c>
      <c r="J105" s="6"/>
    </row>
    <row r="106" spans="1:10" x14ac:dyDescent="0.15">
      <c r="A106" s="5"/>
      <c r="B106" s="5" t="s">
        <v>134</v>
      </c>
      <c r="C106" s="6"/>
      <c r="D106" s="694">
        <f>IF(Prezzi!$C$35&gt;0.09,0.1,Prezzi!$C$35)</f>
        <v>0.1</v>
      </c>
      <c r="E106" s="55">
        <f>Necessità!E20*Costi!D106</f>
        <v>0</v>
      </c>
      <c r="F106" s="55">
        <f>(Necessità!E20-E106)*Costi!D106</f>
        <v>0</v>
      </c>
      <c r="G106" s="55">
        <f>(Necessità!E20-E106-F106)*Costi!D106</f>
        <v>0</v>
      </c>
    </row>
    <row r="107" spans="1:10" x14ac:dyDescent="0.15">
      <c r="A107" s="5"/>
      <c r="B107" s="5" t="s">
        <v>135</v>
      </c>
      <c r="C107" s="6"/>
      <c r="D107" s="694">
        <f>Prezzi!$C$35</f>
        <v>0.3</v>
      </c>
      <c r="E107" s="55">
        <f>Necessità!E22*Costi!D107</f>
        <v>0</v>
      </c>
      <c r="F107" s="55">
        <f>(Necessità!E22-E107)*Costi!D107</f>
        <v>0</v>
      </c>
      <c r="G107" s="55">
        <f>(Necessità!E22-E107-F107)*Costi!D107</f>
        <v>0</v>
      </c>
    </row>
    <row r="108" spans="1:10" x14ac:dyDescent="0.15">
      <c r="A108" s="5"/>
      <c r="B108" s="5" t="s">
        <v>136</v>
      </c>
      <c r="C108" s="6"/>
      <c r="D108" s="694">
        <f>Prezzi!$C$35</f>
        <v>0.3</v>
      </c>
      <c r="E108" s="55">
        <f>IF(Necessità!D47="SI",(Necessità!E21-Necessità!E47)*Costi!D108,Necessità!E21*Costi!D108)</f>
        <v>0</v>
      </c>
      <c r="F108" s="55">
        <f>IF(Necessità!D47="SI",((Necessità!E21-Necessità!E47)-E108)*Costi!D108,(Necessità!E21-E108)*Costi!D108)</f>
        <v>0</v>
      </c>
      <c r="G108" s="55">
        <f>IF(Necessità!D47="SI",((Necessità!E21-Necessità!E47)-E108-F108)*Costi!D108,(Necessità!E21-E108-F108)*Costi!D108)</f>
        <v>0</v>
      </c>
    </row>
    <row r="109" spans="1:10" ht="14" thickBot="1" x14ac:dyDescent="0.2">
      <c r="A109" s="5"/>
      <c r="B109" s="7" t="s">
        <v>137</v>
      </c>
      <c r="C109" s="484"/>
      <c r="D109" s="695">
        <f>Prezzi!$C$35</f>
        <v>0.3</v>
      </c>
      <c r="E109" s="56">
        <f>Necessità!E13*Costi!D109</f>
        <v>0</v>
      </c>
      <c r="F109" s="56">
        <f>(Necessità!E13-E109)*Costi!D109</f>
        <v>0</v>
      </c>
      <c r="G109" s="56">
        <f>(Necessità!E13-E109-F109)*Costi!D109</f>
        <v>0</v>
      </c>
    </row>
    <row r="110" spans="1:10" x14ac:dyDescent="0.15">
      <c r="A110" s="7">
        <v>1050</v>
      </c>
      <c r="B110" s="9"/>
      <c r="C110" s="8"/>
      <c r="D110" s="689" t="s">
        <v>2</v>
      </c>
      <c r="E110" s="54">
        <f>SUM(E103:E109)</f>
        <v>0</v>
      </c>
      <c r="F110" s="54">
        <f>SUM(F103:F109)</f>
        <v>0</v>
      </c>
      <c r="G110" s="54">
        <f>SUM(G103:G109)</f>
        <v>0</v>
      </c>
    </row>
    <row r="111" spans="1:10" ht="7.5" customHeight="1" x14ac:dyDescent="0.15">
      <c r="D111" s="6"/>
    </row>
    <row r="112" spans="1:10" x14ac:dyDescent="0.15">
      <c r="A112" s="229">
        <v>16</v>
      </c>
      <c r="B112" s="13" t="s">
        <v>138</v>
      </c>
      <c r="C112" s="50"/>
      <c r="D112" s="27"/>
      <c r="E112" s="11" t="s">
        <v>1</v>
      </c>
      <c r="F112" s="11" t="s">
        <v>1</v>
      </c>
      <c r="G112" s="11" t="s">
        <v>1</v>
      </c>
    </row>
    <row r="113" spans="1:11" x14ac:dyDescent="0.15">
      <c r="A113" s="230"/>
      <c r="B113" s="9"/>
      <c r="C113" s="692"/>
      <c r="D113" s="223" t="s">
        <v>139</v>
      </c>
      <c r="E113" s="54">
        <f>E9+E16+E27+E33+E39+E44+E53+E59+E66+E73+E82+E90+E97+E110</f>
        <v>0</v>
      </c>
      <c r="F113" s="54">
        <f>F9+F16+F27+F33+F39+F44+F53+F59+F66+F73+F82+F90+F97+F110</f>
        <v>0</v>
      </c>
      <c r="G113" s="54">
        <f>G9+G16+G27+G33+G39+G44+G53+G59+G66+G73+G82+G90+G97+G110</f>
        <v>0</v>
      </c>
    </row>
    <row r="114" spans="1:11" ht="14" thickBot="1" x14ac:dyDescent="0.2">
      <c r="A114" s="231"/>
      <c r="B114" s="9"/>
      <c r="C114" s="689"/>
      <c r="D114" s="691" t="s">
        <v>2</v>
      </c>
      <c r="E114" s="224">
        <f>E113+E101</f>
        <v>0</v>
      </c>
      <c r="F114" s="224">
        <f>F113+F101</f>
        <v>0</v>
      </c>
      <c r="G114" s="225">
        <f>G113+G101</f>
        <v>0</v>
      </c>
    </row>
    <row r="115" spans="1:11" ht="14" thickTop="1" x14ac:dyDescent="0.15">
      <c r="J115" s="2"/>
      <c r="K115" s="2"/>
    </row>
    <row r="116" spans="1:11" x14ac:dyDescent="0.15">
      <c r="A116" s="77"/>
      <c r="B116" s="78" t="s">
        <v>140</v>
      </c>
      <c r="C116" s="78"/>
      <c r="D116" s="77"/>
      <c r="E116" s="79">
        <f>SUM(E4:E7)+E16+E27+E33+E39+E44+E53+E59+E66+E73+E82+E90+E97+E110</f>
        <v>0</v>
      </c>
      <c r="F116" s="79">
        <f>SUM(F4:F7)+F16+F27+F33+F39+F44+F53+F59+F66+F73+F82+F90+F97+F110</f>
        <v>0</v>
      </c>
      <c r="G116" s="79">
        <f>SUM(G4:G7)+G16+G27+G33+G39+G44+G53+G59+G66+G73+G82+G90+G97+G110</f>
        <v>0</v>
      </c>
      <c r="J116" s="2"/>
      <c r="K116" s="2"/>
    </row>
    <row r="117" spans="1:11" x14ac:dyDescent="0.15">
      <c r="E117" s="2"/>
    </row>
    <row r="120" spans="1:11" x14ac:dyDescent="0.15">
      <c r="A120" s="713" t="s">
        <v>504</v>
      </c>
    </row>
  </sheetData>
  <sheetProtection password="DB4F" sheet="1" objects="1" scenarios="1" selectLockedCells="1"/>
  <phoneticPr fontId="15" type="noConversion"/>
  <pageMargins left="0.75" right="0.35" top="0.88" bottom="0.83" header="0.5" footer="0.5"/>
  <pageSetup paperSize="9" orientation="portrait" horizontalDpi="4294967293"/>
  <headerFooter alignWithMargins="0">
    <oddHeader>&amp;L&amp;A&amp;R&amp;F</oddHeader>
    <oddFooter>&amp;CPagina &amp;P+5&amp;R&amp;D</oddFooter>
  </headerFooter>
  <ignoredErrors>
    <ignoredError sqref="E96:G96" unlockedFormula="1"/>
    <ignoredError sqref="D106" formula="1"/>
    <ignoredError sqref="E21:G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90"/>
  <sheetViews>
    <sheetView workbookViewId="0">
      <selection activeCell="N45" sqref="N45"/>
    </sheetView>
  </sheetViews>
  <sheetFormatPr baseColWidth="10" defaultColWidth="9.1640625" defaultRowHeight="13" x14ac:dyDescent="0.15"/>
  <cols>
    <col min="1" max="1" width="5" style="1" customWidth="1"/>
    <col min="2" max="2" width="14.33203125" style="1" customWidth="1"/>
    <col min="3" max="3" width="13.83203125" style="1" customWidth="1"/>
    <col min="4" max="4" width="6.83203125" style="1" customWidth="1"/>
    <col min="5" max="5" width="9" style="1" customWidth="1"/>
    <col min="6" max="6" width="4.5" style="1" customWidth="1"/>
    <col min="7" max="7" width="6.6640625" style="1" customWidth="1"/>
    <col min="8" max="9" width="5.1640625" style="1" customWidth="1"/>
    <col min="10" max="11" width="12.5" style="1" customWidth="1"/>
    <col min="12" max="12" width="13.1640625" style="1" customWidth="1"/>
    <col min="13" max="13" width="11.6640625" style="1" customWidth="1"/>
    <col min="14" max="14" width="10" style="1" customWidth="1"/>
    <col min="15" max="15" width="8.5" style="1" customWidth="1"/>
    <col min="16" max="16" width="5" style="1" customWidth="1"/>
    <col min="17" max="17" width="7.5" style="1" customWidth="1"/>
    <col min="18" max="18" width="7.33203125" style="1" customWidth="1"/>
    <col min="19" max="19" width="10.83203125" style="1" customWidth="1"/>
    <col min="20" max="21" width="9.1640625" style="1"/>
    <col min="22" max="22" width="4.1640625" style="1" customWidth="1"/>
    <col min="23" max="24" width="5.1640625" style="1" customWidth="1"/>
    <col min="25" max="25" width="4.83203125" style="1" customWidth="1"/>
    <col min="26" max="26" width="5" style="1" customWidth="1"/>
    <col min="27" max="27" width="9.5" style="1" customWidth="1"/>
    <col min="28" max="16384" width="9.1640625" style="1"/>
  </cols>
  <sheetData>
    <row r="1" spans="1:29" ht="20" x14ac:dyDescent="0.2">
      <c r="A1" s="76" t="s">
        <v>141</v>
      </c>
      <c r="D1" s="264" t="str">
        <f>Z1</f>
        <v>NON ANCORA DEFINITO</v>
      </c>
      <c r="P1" s="714" t="str">
        <f>MID([1]Persona!$D$12,1,60)</f>
        <v/>
      </c>
      <c r="Q1" s="116"/>
      <c r="R1" s="120"/>
      <c r="S1" s="120"/>
      <c r="T1" s="120"/>
      <c r="U1" s="120"/>
      <c r="V1" s="120"/>
      <c r="W1" s="120">
        <f>IF(SUM(X1,Y1)=0,4,SUM(X1,Y1))</f>
        <v>4</v>
      </c>
      <c r="X1" s="120">
        <f>IF(Commercio!P1="COMMERCIO",1,0)</f>
        <v>0</v>
      </c>
      <c r="Y1" s="120">
        <f>IF(Produzione!AE1="PRODUZIONE",2,0)</f>
        <v>0</v>
      </c>
      <c r="Z1" s="120" t="str">
        <f>CHOOSE(W1,Y3,Y4,Y5,Y6)</f>
        <v>NON ANCORA DEFINITO</v>
      </c>
      <c r="AA1" s="120"/>
    </row>
    <row r="2" spans="1:29" x14ac:dyDescent="0.15">
      <c r="H2" s="139" t="s">
        <v>143</v>
      </c>
      <c r="I2" s="114"/>
      <c r="J2" s="717" t="s">
        <v>142</v>
      </c>
      <c r="Q2" s="116"/>
      <c r="R2" s="120"/>
      <c r="S2" s="120"/>
      <c r="T2" s="120"/>
      <c r="U2" s="120"/>
      <c r="V2" s="120"/>
      <c r="W2" s="120"/>
      <c r="X2" s="120"/>
      <c r="Y2" s="120"/>
      <c r="Z2" s="120"/>
      <c r="AA2" s="120"/>
    </row>
    <row r="3" spans="1:29" ht="14" thickBot="1" x14ac:dyDescent="0.2">
      <c r="A3" s="30" t="s">
        <v>144</v>
      </c>
      <c r="B3" s="31" t="s">
        <v>463</v>
      </c>
      <c r="C3" s="31" t="s">
        <v>146</v>
      </c>
      <c r="D3" s="31" t="s">
        <v>147</v>
      </c>
      <c r="E3" s="31" t="s">
        <v>148</v>
      </c>
      <c r="F3" s="31" t="s">
        <v>149</v>
      </c>
      <c r="G3" s="32"/>
      <c r="H3" s="31" t="s">
        <v>150</v>
      </c>
      <c r="I3" s="163" t="s">
        <v>151</v>
      </c>
      <c r="J3" s="30" t="s">
        <v>496</v>
      </c>
      <c r="K3" s="30" t="s">
        <v>497</v>
      </c>
      <c r="L3" s="32" t="s">
        <v>152</v>
      </c>
      <c r="M3" s="351" t="s">
        <v>153</v>
      </c>
      <c r="N3" s="32" t="s">
        <v>154</v>
      </c>
      <c r="O3" s="32" t="s">
        <v>155</v>
      </c>
      <c r="P3" s="161" t="s">
        <v>156</v>
      </c>
      <c r="Q3" s="549"/>
      <c r="R3" s="120"/>
      <c r="S3" s="120"/>
      <c r="T3" s="120"/>
      <c r="U3" s="120"/>
      <c r="V3" s="120"/>
      <c r="W3" s="120"/>
      <c r="X3" s="120"/>
      <c r="Y3" s="306" t="s">
        <v>157</v>
      </c>
      <c r="Z3" s="120"/>
      <c r="AA3" s="120"/>
    </row>
    <row r="4" spans="1:29" x14ac:dyDescent="0.15">
      <c r="A4" s="307">
        <v>1</v>
      </c>
      <c r="B4" s="309" t="str">
        <f>IF(W$1=1,Commercio!AB4,Produzione!BG4)</f>
        <v/>
      </c>
      <c r="C4" s="311">
        <f>IF(W$1=1,IF(I4="",0,Commercio!AI4/I4),IF(I4="",0,M4/I4))</f>
        <v>0</v>
      </c>
      <c r="D4" s="309" t="str">
        <f>IF(B4="","",IF(W$1=1,"pz.",Produzione!I4))</f>
        <v/>
      </c>
      <c r="E4" s="61" t="str">
        <f>IF(B4="","",IF(W$1=1,Commercio!AG4,(Produzione!BM4/Produzione!BL4)))</f>
        <v/>
      </c>
      <c r="F4" s="313" t="str">
        <f>IF(B4="","",IF(W$1=1,(Commercio!AH4/Commercio!AD4),Produzione!BN4/Produzione!BL4))</f>
        <v/>
      </c>
      <c r="G4" s="315"/>
      <c r="H4" s="316" t="str">
        <f>IF(B4="","",IF(W$1=1,Commercio!AC4,Produzione!BI4))</f>
        <v/>
      </c>
      <c r="I4" s="164" t="str">
        <f>IF(W$1=1,Commercio!AD4,Produzione!BL4)</f>
        <v/>
      </c>
      <c r="J4" s="61">
        <f>IF(E4="",0,IF(W$1=1,E4,(E4*I4)))</f>
        <v>0</v>
      </c>
      <c r="K4" s="55">
        <f t="shared" ref="K4:K18" si="0">IF(F4="",0,F4*I4)</f>
        <v>0</v>
      </c>
      <c r="L4" s="82">
        <f>IF(W$1=1,F4,IF(B4="",0,IF(B4="Acquisti",Produzione!BO4-K4,($E$31*J4))))</f>
        <v>0</v>
      </c>
      <c r="M4" s="83">
        <f>IF(D4="",0,IF(W$1=1,C4*I4,K4+L4))</f>
        <v>0</v>
      </c>
      <c r="N4" s="103" t="str">
        <f>IF(I4="","",I4*12)</f>
        <v/>
      </c>
      <c r="O4" s="85" t="str">
        <f>IF(M4=0,"",M4*12)</f>
        <v/>
      </c>
      <c r="P4" s="162" t="str">
        <f>IF(H4="","",I4/H4)</f>
        <v/>
      </c>
      <c r="Q4" s="550"/>
      <c r="R4" s="120">
        <f>IF(B4="",0,F4*N4)</f>
        <v>0</v>
      </c>
      <c r="S4" s="266">
        <f>IF(M4="",L4,M4)</f>
        <v>0</v>
      </c>
      <c r="T4" s="266">
        <f>IF(B4="",0,($E$31*(E4/60))+F4)</f>
        <v>0</v>
      </c>
      <c r="U4" s="120"/>
      <c r="V4" s="120"/>
      <c r="W4" s="120"/>
      <c r="X4" s="120"/>
      <c r="Y4" s="306" t="s">
        <v>158</v>
      </c>
      <c r="Z4" s="120"/>
      <c r="AA4" s="120"/>
      <c r="AC4" s="35"/>
    </row>
    <row r="5" spans="1:29" x14ac:dyDescent="0.15">
      <c r="A5" s="307">
        <v>2</v>
      </c>
      <c r="B5" s="309" t="str">
        <f>IF(W$1=1,Commercio!AB5,Produzione!BG5)</f>
        <v/>
      </c>
      <c r="C5" s="311">
        <f>IF(W$1=1,IF(I5="",0,Commercio!AI5/I5),IF(I5="",0,M5/I5))</f>
        <v>0</v>
      </c>
      <c r="D5" s="309" t="str">
        <f>IF(B5="","",IF(W$1=1,"pz.",Produzione!I5))</f>
        <v/>
      </c>
      <c r="E5" s="61" t="str">
        <f>IF(B5="","",IF(W$1=1,Commercio!AG5,(Produzione!BM5/Produzione!BL5)))</f>
        <v/>
      </c>
      <c r="F5" s="232" t="str">
        <f>IF(B5="","",IF(W$1=1,(Commercio!AH5/Commercio!AD5),Produzione!BN5/Produzione!BL5))</f>
        <v/>
      </c>
      <c r="G5" s="314"/>
      <c r="H5" s="309" t="str">
        <f>IF(B5="","",IF(W$1=1,Commercio!AC5,Produzione!BI5))</f>
        <v/>
      </c>
      <c r="I5" s="164" t="str">
        <f>IF(W$1=1,Commercio!AD5,Produzione!BL5)</f>
        <v/>
      </c>
      <c r="J5" s="61">
        <f>IF(E5="",0,IF(W$1=1,E5,(E5*I5)))</f>
        <v>0</v>
      </c>
      <c r="K5" s="55">
        <f t="shared" si="0"/>
        <v>0</v>
      </c>
      <c r="L5" s="82">
        <f>IF(W$1=1,F5,IF(B5="",0,IF(B5="Acquisti",Produzione!BO5-K5,($E$31*J5))))</f>
        <v>0</v>
      </c>
      <c r="M5" s="83">
        <f>IF(D5="",0,IF(W$1=1,C5*I5,K5+L5))</f>
        <v>0</v>
      </c>
      <c r="N5" s="103" t="str">
        <f>IF(I5="","",I5*12)</f>
        <v/>
      </c>
      <c r="O5" s="85" t="str">
        <f>IF(M5=0,"",M5*12)</f>
        <v/>
      </c>
      <c r="P5" s="162" t="str">
        <f>IF(H5="","",I5/H5)</f>
        <v/>
      </c>
      <c r="Q5" s="550"/>
      <c r="R5" s="120">
        <f t="shared" ref="R5:R17" si="1">IF(B5="",0,F5*N5)</f>
        <v>0</v>
      </c>
      <c r="S5" s="266">
        <f t="shared" ref="S5:S18" si="2">IF(M5="",L5,M5)</f>
        <v>0</v>
      </c>
      <c r="T5" s="266">
        <f>IF(B5="",0,($E$31*(E5/60))+F5)</f>
        <v>0</v>
      </c>
      <c r="U5" s="120"/>
      <c r="V5" s="120"/>
      <c r="W5" s="120"/>
      <c r="X5" s="120"/>
      <c r="Y5" s="600" t="s">
        <v>473</v>
      </c>
      <c r="Z5" s="120"/>
      <c r="AA5" s="120"/>
    </row>
    <row r="6" spans="1:29" x14ac:dyDescent="0.15">
      <c r="A6" s="307">
        <v>3</v>
      </c>
      <c r="B6" s="309" t="str">
        <f>IF(W$1=1,Commercio!AB6,Produzione!BG6)</f>
        <v/>
      </c>
      <c r="C6" s="311">
        <f>IF(W$1=1,IF(I6="",0,Commercio!AI6/I6),IF(I6="",0,M6/I6))</f>
        <v>0</v>
      </c>
      <c r="D6" s="309" t="str">
        <f>IF(B6="","",IF(W$1=1,"pz.",Produzione!I6))</f>
        <v/>
      </c>
      <c r="E6" s="61" t="str">
        <f>IF(B6="","",IF(W$1=1,Commercio!AG6,(Produzione!BM6/Produzione!BL6)))</f>
        <v/>
      </c>
      <c r="F6" s="232" t="str">
        <f>IF(B6="","",IF(W$1=1,(Commercio!AH6/Commercio!AD6),Produzione!BN6/Produzione!BL6))</f>
        <v/>
      </c>
      <c r="G6" s="314"/>
      <c r="H6" s="309" t="str">
        <f>IF(B6="","",IF(W$1=1,Commercio!AC6,Produzione!BI6))</f>
        <v/>
      </c>
      <c r="I6" s="164" t="str">
        <f>IF(W$1=1,Commercio!AD6,Produzione!BL6)</f>
        <v/>
      </c>
      <c r="J6" s="61">
        <f t="shared" ref="J6:J18" si="3">IF(E6="",0,IF(W$1=1,E6,(E6*I6)))</f>
        <v>0</v>
      </c>
      <c r="K6" s="55">
        <f t="shared" si="0"/>
        <v>0</v>
      </c>
      <c r="L6" s="82">
        <f>IF(W$1=1,F6,IF(B6="",0,IF(B6="Acquisti",Produzione!BO6-K6,($E$31*J6))))</f>
        <v>0</v>
      </c>
      <c r="M6" s="83">
        <f>IF(D6="",0,IF(W$1=1,C6*I6,K6+L6))</f>
        <v>0</v>
      </c>
      <c r="N6" s="103" t="str">
        <f t="shared" ref="N6:N18" si="4">IF(I6="","",I6*12)</f>
        <v/>
      </c>
      <c r="O6" s="85" t="str">
        <f>IF(M6=0,"",M6*12)</f>
        <v/>
      </c>
      <c r="P6" s="162" t="str">
        <f t="shared" ref="P6:P18" si="5">IF(H6="","",I6/H6)</f>
        <v/>
      </c>
      <c r="Q6" s="550"/>
      <c r="R6" s="120">
        <f t="shared" si="1"/>
        <v>0</v>
      </c>
      <c r="S6" s="266">
        <f t="shared" si="2"/>
        <v>0</v>
      </c>
      <c r="T6" s="266">
        <f>IF(B6="",0,($E$31*(E6/60))+F6)</f>
        <v>0</v>
      </c>
      <c r="U6" s="120"/>
      <c r="V6" s="120"/>
      <c r="W6" s="120"/>
      <c r="X6" s="120"/>
      <c r="Y6" s="524" t="s">
        <v>476</v>
      </c>
      <c r="Z6" s="120"/>
      <c r="AA6" s="120"/>
    </row>
    <row r="7" spans="1:29" x14ac:dyDescent="0.15">
      <c r="A7" s="307">
        <v>4</v>
      </c>
      <c r="B7" s="309" t="str">
        <f>IF(W$1=1,Commercio!AB7,Produzione!BG7)</f>
        <v/>
      </c>
      <c r="C7" s="311">
        <f>IF(W$1=1,IF(I7="",0,Commercio!AI7/I7),IF(I7="",0,M7/I7))</f>
        <v>0</v>
      </c>
      <c r="D7" s="309" t="str">
        <f>IF(B7="","",IF(W$1=1,"pz.",Produzione!I7))</f>
        <v/>
      </c>
      <c r="E7" s="61" t="str">
        <f>IF(B7="","",IF(W$1=1,Commercio!AG7,(Produzione!BM7/Produzione!BL7)))</f>
        <v/>
      </c>
      <c r="F7" s="232" t="str">
        <f>IF(B7="","",IF(W$1=1,(Commercio!AH7/Commercio!AD7),Produzione!BN7/Produzione!BL7))</f>
        <v/>
      </c>
      <c r="G7" s="314"/>
      <c r="H7" s="309" t="str">
        <f>IF(B7="","",IF(W$1=1,Commercio!AC7,Produzione!BI7))</f>
        <v/>
      </c>
      <c r="I7" s="164" t="str">
        <f>IF(W$1=1,Commercio!AD7,Produzione!BL7)</f>
        <v/>
      </c>
      <c r="J7" s="61">
        <f t="shared" si="3"/>
        <v>0</v>
      </c>
      <c r="K7" s="55">
        <f t="shared" si="0"/>
        <v>0</v>
      </c>
      <c r="L7" s="82">
        <f>IF(W$1=1,F7,IF(B7="",0,IF(B7="Acquisti",Produzione!BO7-K7,($E$31*J7))))</f>
        <v>0</v>
      </c>
      <c r="M7" s="83">
        <f>IF(D7="",0,IF(W$1=1,C7*I7,K7+L7))</f>
        <v>0</v>
      </c>
      <c r="N7" s="103" t="str">
        <f t="shared" si="4"/>
        <v/>
      </c>
      <c r="O7" s="85" t="str">
        <f>IF(M7=0,"",M7*12)</f>
        <v/>
      </c>
      <c r="P7" s="162" t="str">
        <f t="shared" si="5"/>
        <v/>
      </c>
      <c r="Q7" s="550"/>
      <c r="R7" s="120">
        <f t="shared" si="1"/>
        <v>0</v>
      </c>
      <c r="S7" s="266">
        <f t="shared" si="2"/>
        <v>0</v>
      </c>
      <c r="T7" s="266">
        <f>IF(B7="",0,($E$31*(E7/60))+F7)</f>
        <v>0</v>
      </c>
      <c r="U7" s="120"/>
      <c r="V7" s="120"/>
      <c r="W7" s="120"/>
      <c r="X7" s="120"/>
      <c r="Y7" s="120"/>
      <c r="Z7" s="120"/>
      <c r="AA7" s="120" t="s">
        <v>159</v>
      </c>
    </row>
    <row r="8" spans="1:29" x14ac:dyDescent="0.15">
      <c r="A8" s="307">
        <v>5</v>
      </c>
      <c r="B8" s="309" t="str">
        <f>IF(W$1=1,Commercio!AB8,Produzione!BG8)</f>
        <v/>
      </c>
      <c r="C8" s="311">
        <f>IF(W$1=1,IF(I8="",0,Commercio!AI8/I8),IF(I8="",0,M8/I8))</f>
        <v>0</v>
      </c>
      <c r="D8" s="309" t="str">
        <f>IF(B8="","",IF(W$1=1,"pz.",Produzione!I8))</f>
        <v/>
      </c>
      <c r="E8" s="61" t="str">
        <f>IF(B8="","",IF(W$1=1,Commercio!AG8,(Produzione!BM8/Produzione!BL8)))</f>
        <v/>
      </c>
      <c r="F8" s="232" t="str">
        <f>IF(B8="","",IF(W$1=1,(Commercio!AH8/Commercio!AD8),Produzione!BN8/Produzione!BL8))</f>
        <v/>
      </c>
      <c r="G8" s="314"/>
      <c r="H8" s="309" t="str">
        <f>IF(B8="","",IF(W$1=1,Commercio!AC8,Produzione!BI8))</f>
        <v/>
      </c>
      <c r="I8" s="164" t="str">
        <f>IF(W$1=1,Commercio!AD8,Produzione!BL8)</f>
        <v/>
      </c>
      <c r="J8" s="61">
        <f t="shared" si="3"/>
        <v>0</v>
      </c>
      <c r="K8" s="55">
        <f t="shared" si="0"/>
        <v>0</v>
      </c>
      <c r="L8" s="82">
        <f>IF(W$1=1,F8,IF(B8="",0,IF(B8="Acquisti",Produzione!BO8-K8,($E$31*J8))))</f>
        <v>0</v>
      </c>
      <c r="M8" s="83">
        <f t="shared" ref="M8:M18" si="6">IF(D8="",0,IF(W$1=1,C8*I8,K8+L8))</f>
        <v>0</v>
      </c>
      <c r="N8" s="103" t="str">
        <f t="shared" si="4"/>
        <v/>
      </c>
      <c r="O8" s="85" t="str">
        <f t="shared" ref="O8:O18" si="7">IF(M8=0,"",M8*12)</f>
        <v/>
      </c>
      <c r="P8" s="162" t="str">
        <f t="shared" si="5"/>
        <v/>
      </c>
      <c r="Q8" s="550"/>
      <c r="R8" s="120">
        <f t="shared" si="1"/>
        <v>0</v>
      </c>
      <c r="S8" s="266">
        <f t="shared" si="2"/>
        <v>0</v>
      </c>
      <c r="T8" s="266">
        <f>IF(B8="",0,($E$31*(E8/60))+F8)</f>
        <v>0</v>
      </c>
      <c r="U8" s="120"/>
      <c r="V8" s="120"/>
      <c r="W8" s="120"/>
      <c r="X8" s="120"/>
      <c r="Y8" s="120"/>
      <c r="Z8" s="120" t="s">
        <v>160</v>
      </c>
      <c r="AA8" s="124">
        <f>IF(L34="",O19,(O19*L34))</f>
        <v>0</v>
      </c>
    </row>
    <row r="9" spans="1:29" x14ac:dyDescent="0.15">
      <c r="A9" s="307">
        <v>6</v>
      </c>
      <c r="B9" s="309" t="str">
        <f>IF(W$1=1,Commercio!AB9,Produzione!BG9)</f>
        <v/>
      </c>
      <c r="C9" s="311">
        <f>IF(W$1=1,IF(I9="",0,Commercio!AI9/I9),IF(I9="",0,M9/I9))</f>
        <v>0</v>
      </c>
      <c r="D9" s="309" t="str">
        <f>IF(B9="","",IF(W$1=1,"pz.",Produzione!I9))</f>
        <v/>
      </c>
      <c r="E9" s="61" t="str">
        <f>IF(B9="","",IF(W$1=1,Commercio!AG9,(Produzione!BM9/Produzione!BL9)))</f>
        <v/>
      </c>
      <c r="F9" s="232" t="str">
        <f>IF(B9="","",IF(W$1=1,(Commercio!AH9/Commercio!AD9),Produzione!BN9/Produzione!BL9))</f>
        <v/>
      </c>
      <c r="G9" s="314"/>
      <c r="H9" s="309" t="str">
        <f>IF(B9="","",IF(W$1=1,Commercio!AC9,Produzione!BI9))</f>
        <v/>
      </c>
      <c r="I9" s="164" t="str">
        <f>IF(W$1=1,Commercio!AD9,Produzione!BL9)</f>
        <v/>
      </c>
      <c r="J9" s="61">
        <f t="shared" si="3"/>
        <v>0</v>
      </c>
      <c r="K9" s="55">
        <f t="shared" si="0"/>
        <v>0</v>
      </c>
      <c r="L9" s="82">
        <f>IF(W$1=1,F9,IF(B9="",0,IF(B9="Acquisti",Produzione!BO9-K9,($E$31*J9))))</f>
        <v>0</v>
      </c>
      <c r="M9" s="83">
        <f t="shared" si="6"/>
        <v>0</v>
      </c>
      <c r="N9" s="103" t="str">
        <f t="shared" si="4"/>
        <v/>
      </c>
      <c r="O9" s="85" t="str">
        <f t="shared" si="7"/>
        <v/>
      </c>
      <c r="P9" s="162" t="str">
        <f t="shared" si="5"/>
        <v/>
      </c>
      <c r="Q9" s="550"/>
      <c r="R9" s="120">
        <f t="shared" si="1"/>
        <v>0</v>
      </c>
      <c r="S9" s="266">
        <f t="shared" si="2"/>
        <v>0</v>
      </c>
      <c r="T9" s="266">
        <f t="shared" ref="T9:T18" si="8">IF(B9="",0,($E$31*(E9/60))+F9)</f>
        <v>0</v>
      </c>
      <c r="U9" s="120"/>
      <c r="V9" s="120"/>
      <c r="W9" s="120"/>
      <c r="X9" s="120"/>
      <c r="Y9" s="120"/>
      <c r="Z9" s="120" t="s">
        <v>161</v>
      </c>
      <c r="AA9" s="124">
        <f>IF(K34="",O19,(O19*K34))</f>
        <v>0</v>
      </c>
    </row>
    <row r="10" spans="1:29" x14ac:dyDescent="0.15">
      <c r="A10" s="307">
        <v>7</v>
      </c>
      <c r="B10" s="309" t="str">
        <f>IF(W$1=1,Commercio!AB10,Produzione!BG10)</f>
        <v/>
      </c>
      <c r="C10" s="311">
        <f>IF(W$1=1,IF(I10="",0,Commercio!AI10/I10),IF(I10="",0,M10/I10))</f>
        <v>0</v>
      </c>
      <c r="D10" s="309" t="str">
        <f>IF(B10="","",IF(W$1=1,"pz.",Produzione!I10))</f>
        <v/>
      </c>
      <c r="E10" s="61" t="str">
        <f>IF(B10="","",IF(W$1=1,Commercio!AG10,(Produzione!BM10/Produzione!BL10)))</f>
        <v/>
      </c>
      <c r="F10" s="232" t="str">
        <f>IF(B10="","",IF(W$1=1,(Commercio!AH10/Commercio!AD10),Produzione!BN10/Produzione!BL10))</f>
        <v/>
      </c>
      <c r="G10" s="314"/>
      <c r="H10" s="309" t="str">
        <f>IF(B10="","",IF(W$1=1,Commercio!AC10,Produzione!BI10))</f>
        <v/>
      </c>
      <c r="I10" s="164" t="str">
        <f>IF(W$1=1,Commercio!AD10,Produzione!BL10)</f>
        <v/>
      </c>
      <c r="J10" s="61">
        <f t="shared" si="3"/>
        <v>0</v>
      </c>
      <c r="K10" s="55">
        <f t="shared" si="0"/>
        <v>0</v>
      </c>
      <c r="L10" s="82">
        <f>IF(W$1=1,F10,IF(B10="",0,IF(B10="Acquisti",Produzione!BO10-K10,($E$31*J10))))</f>
        <v>0</v>
      </c>
      <c r="M10" s="83">
        <f t="shared" si="6"/>
        <v>0</v>
      </c>
      <c r="N10" s="103" t="str">
        <f t="shared" si="4"/>
        <v/>
      </c>
      <c r="O10" s="85" t="str">
        <f t="shared" si="7"/>
        <v/>
      </c>
      <c r="P10" s="162" t="str">
        <f t="shared" si="5"/>
        <v/>
      </c>
      <c r="Q10" s="550"/>
      <c r="R10" s="120">
        <f t="shared" si="1"/>
        <v>0</v>
      </c>
      <c r="S10" s="266">
        <f t="shared" si="2"/>
        <v>0</v>
      </c>
      <c r="T10" s="266">
        <f t="shared" si="8"/>
        <v>0</v>
      </c>
      <c r="U10" s="120"/>
      <c r="V10" s="120"/>
      <c r="W10" s="120"/>
      <c r="X10" s="120"/>
      <c r="Y10" s="120"/>
      <c r="Z10" s="120" t="s">
        <v>162</v>
      </c>
      <c r="AA10" s="124">
        <f>O19</f>
        <v>0</v>
      </c>
    </row>
    <row r="11" spans="1:29" x14ac:dyDescent="0.15">
      <c r="A11" s="307">
        <v>8</v>
      </c>
      <c r="B11" s="309" t="str">
        <f>IF(W$1=1,Commercio!AB11,Produzione!BG11)</f>
        <v/>
      </c>
      <c r="C11" s="311">
        <f>IF(W$1=1,IF(I11="",0,Commercio!AI11/I11),IF(I11="",0,M11/I11))</f>
        <v>0</v>
      </c>
      <c r="D11" s="309" t="str">
        <f>IF(B11="","",IF(W$1=1,"pz.",Produzione!I11))</f>
        <v/>
      </c>
      <c r="E11" s="61" t="str">
        <f>IF(B11="","",IF(W$1=1,Commercio!AG11,(Produzione!BM11/Produzione!BL11)))</f>
        <v/>
      </c>
      <c r="F11" s="232" t="str">
        <f>IF(B11="","",IF(W$1=1,(Commercio!AH11/Commercio!AD11),Produzione!BN11/Produzione!BL11))</f>
        <v/>
      </c>
      <c r="G11" s="314"/>
      <c r="H11" s="309" t="str">
        <f>IF(B11="","",IF(W$1=1,Commercio!AC11,Produzione!BI11))</f>
        <v/>
      </c>
      <c r="I11" s="164" t="str">
        <f>IF(W$1=1,Commercio!AD11,Produzione!BL11)</f>
        <v/>
      </c>
      <c r="J11" s="61">
        <f t="shared" si="3"/>
        <v>0</v>
      </c>
      <c r="K11" s="55">
        <f t="shared" si="0"/>
        <v>0</v>
      </c>
      <c r="L11" s="82">
        <f>IF(W$1=1,F11,IF(B11="",0,IF(B11="Acquisti",Produzione!BO11-K11,($E$31*J11))))</f>
        <v>0</v>
      </c>
      <c r="M11" s="83">
        <f t="shared" si="6"/>
        <v>0</v>
      </c>
      <c r="N11" s="103" t="str">
        <f t="shared" si="4"/>
        <v/>
      </c>
      <c r="O11" s="85" t="str">
        <f t="shared" si="7"/>
        <v/>
      </c>
      <c r="P11" s="162" t="str">
        <f t="shared" si="5"/>
        <v/>
      </c>
      <c r="Q11" s="550"/>
      <c r="R11" s="120">
        <f t="shared" si="1"/>
        <v>0</v>
      </c>
      <c r="S11" s="266">
        <f t="shared" si="2"/>
        <v>0</v>
      </c>
      <c r="T11" s="266">
        <f t="shared" si="8"/>
        <v>0</v>
      </c>
      <c r="U11" s="120"/>
      <c r="V11" s="120"/>
      <c r="W11" s="120"/>
      <c r="X11" s="120"/>
      <c r="Y11" s="120"/>
      <c r="Z11" s="120" t="s">
        <v>152</v>
      </c>
      <c r="AA11" s="266">
        <f>K19*12</f>
        <v>0</v>
      </c>
    </row>
    <row r="12" spans="1:29" x14ac:dyDescent="0.15">
      <c r="A12" s="307">
        <v>9</v>
      </c>
      <c r="B12" s="309" t="str">
        <f>IF(W$1=1,Commercio!AB12,Produzione!BG12)</f>
        <v/>
      </c>
      <c r="C12" s="311">
        <f>IF(W$1=1,IF(I12="",0,Commercio!AI12/I12),IF(I12="",0,M12/I12))</f>
        <v>0</v>
      </c>
      <c r="D12" s="309" t="str">
        <f>IF(B12="","",IF(W$1=1,"pz.",Produzione!I12))</f>
        <v/>
      </c>
      <c r="E12" s="61" t="str">
        <f>IF(B12="","",IF(W$1=1,Commercio!AG12,(Produzione!BM12/Produzione!BL12)))</f>
        <v/>
      </c>
      <c r="F12" s="232" t="str">
        <f>IF(B12="","",IF(W$1=1,(Commercio!AH12/Commercio!AD12),Produzione!BN12/Produzione!BL12))</f>
        <v/>
      </c>
      <c r="G12" s="314"/>
      <c r="H12" s="309" t="str">
        <f>IF(B12="","",IF(W$1=1,Commercio!AC12,Produzione!BI12))</f>
        <v/>
      </c>
      <c r="I12" s="164" t="str">
        <f>IF(W$1=1,Commercio!AD12,Produzione!BL12)</f>
        <v/>
      </c>
      <c r="J12" s="61">
        <f t="shared" si="3"/>
        <v>0</v>
      </c>
      <c r="K12" s="55">
        <f t="shared" si="0"/>
        <v>0</v>
      </c>
      <c r="L12" s="82">
        <f>IF(W$1=1,F12,IF(B12="",0,IF(B12="Acquisti",Produzione!BO12-K12,($E$31*J12))))</f>
        <v>0</v>
      </c>
      <c r="M12" s="83">
        <f t="shared" si="6"/>
        <v>0</v>
      </c>
      <c r="N12" s="103" t="str">
        <f t="shared" si="4"/>
        <v/>
      </c>
      <c r="O12" s="85" t="str">
        <f t="shared" si="7"/>
        <v/>
      </c>
      <c r="P12" s="162" t="str">
        <f t="shared" si="5"/>
        <v/>
      </c>
      <c r="Q12" s="550"/>
      <c r="R12" s="120">
        <f t="shared" si="1"/>
        <v>0</v>
      </c>
      <c r="S12" s="266">
        <f t="shared" si="2"/>
        <v>0</v>
      </c>
      <c r="T12" s="266">
        <f t="shared" si="8"/>
        <v>0</v>
      </c>
      <c r="U12" s="120"/>
      <c r="V12" s="120"/>
      <c r="W12" s="120"/>
      <c r="X12" s="120"/>
      <c r="Y12" s="120"/>
      <c r="Z12" s="120"/>
      <c r="AA12" s="339" t="e">
        <f>O19/AA11</f>
        <v>#DIV/0!</v>
      </c>
    </row>
    <row r="13" spans="1:29" x14ac:dyDescent="0.15">
      <c r="A13" s="307">
        <v>10</v>
      </c>
      <c r="B13" s="309" t="str">
        <f>IF(W$1=1,Commercio!AB13,Produzione!BG13)</f>
        <v/>
      </c>
      <c r="C13" s="311">
        <f>IF(W$1=1,IF(I13="",0,Commercio!AI13/I13),IF(I13="",0,M13/I13))</f>
        <v>0</v>
      </c>
      <c r="D13" s="309" t="str">
        <f>IF(B13="","",IF(W$1=1,"pz.",Produzione!I13))</f>
        <v/>
      </c>
      <c r="E13" s="61" t="str">
        <f>IF(B13="","",IF(W$1=1,Commercio!AG13,(Produzione!BM13/Produzione!BL13)))</f>
        <v/>
      </c>
      <c r="F13" s="232" t="str">
        <f>IF(B13="","",IF(W$1=1,(Commercio!AH13/Commercio!AD13),Produzione!BN13/Produzione!BL13))</f>
        <v/>
      </c>
      <c r="G13" s="314"/>
      <c r="H13" s="309" t="str">
        <f>IF(B13="","",IF(W$1=1,Commercio!AC13,Produzione!BI13))</f>
        <v/>
      </c>
      <c r="I13" s="164" t="str">
        <f>IF(W$1=1,Commercio!AD13,Produzione!BL13)</f>
        <v/>
      </c>
      <c r="J13" s="61">
        <f t="shared" si="3"/>
        <v>0</v>
      </c>
      <c r="K13" s="55">
        <f t="shared" si="0"/>
        <v>0</v>
      </c>
      <c r="L13" s="82">
        <f>IF(W$1=1,F13,IF(B13="",0,IF(B13="Acquisti",Produzione!BO13-K13,($E$31*J13))))</f>
        <v>0</v>
      </c>
      <c r="M13" s="83">
        <f t="shared" si="6"/>
        <v>0</v>
      </c>
      <c r="N13" s="103" t="str">
        <f t="shared" si="4"/>
        <v/>
      </c>
      <c r="O13" s="85" t="str">
        <f t="shared" si="7"/>
        <v/>
      </c>
      <c r="P13" s="162" t="str">
        <f t="shared" si="5"/>
        <v/>
      </c>
      <c r="Q13" s="550"/>
      <c r="R13" s="120">
        <f t="shared" si="1"/>
        <v>0</v>
      </c>
      <c r="S13" s="266">
        <f t="shared" si="2"/>
        <v>0</v>
      </c>
      <c r="T13" s="266">
        <f t="shared" si="8"/>
        <v>0</v>
      </c>
      <c r="U13" s="120"/>
      <c r="V13" s="120"/>
      <c r="W13" s="120"/>
      <c r="X13" s="120"/>
      <c r="Y13" s="120"/>
      <c r="Z13" s="120"/>
      <c r="AA13" s="338" t="e">
        <f>O19/AA11</f>
        <v>#DIV/0!</v>
      </c>
    </row>
    <row r="14" spans="1:29" x14ac:dyDescent="0.15">
      <c r="A14" s="307">
        <v>11</v>
      </c>
      <c r="B14" s="309" t="str">
        <f>IF(W$1=1,Commercio!AB14,Produzione!BG14)</f>
        <v/>
      </c>
      <c r="C14" s="311">
        <f>IF(W$1=1,IF(I14="",0,Commercio!AI14/I14),IF(I14="",0,M14/I14))</f>
        <v>0</v>
      </c>
      <c r="D14" s="309" t="str">
        <f>IF(B14="","",IF(W$1=1,"pz.",Produzione!I14))</f>
        <v/>
      </c>
      <c r="E14" s="61" t="str">
        <f>IF(B14="","",IF(W$1=1,Commercio!AG14,(Produzione!BM14/Produzione!BL14)))</f>
        <v/>
      </c>
      <c r="F14" s="232" t="str">
        <f>IF(B14="","",IF(W$1=1,(Commercio!AH14/Commercio!AD14),Produzione!BN14/Produzione!BL14))</f>
        <v/>
      </c>
      <c r="G14" s="314"/>
      <c r="H14" s="309" t="str">
        <f>IF(B14="","",IF(W$1=1,Commercio!AC14,Produzione!BI14))</f>
        <v/>
      </c>
      <c r="I14" s="164" t="str">
        <f>IF(W$1=1,Commercio!AD14,Produzione!BL14)</f>
        <v/>
      </c>
      <c r="J14" s="61">
        <f t="shared" si="3"/>
        <v>0</v>
      </c>
      <c r="K14" s="55">
        <f t="shared" si="0"/>
        <v>0</v>
      </c>
      <c r="L14" s="82">
        <f>IF(W$1=1,F14,IF(B14="",0,IF(B14="Acquisti",Produzione!BO14-K14,($E$31*J14))))</f>
        <v>0</v>
      </c>
      <c r="M14" s="83">
        <f t="shared" si="6"/>
        <v>0</v>
      </c>
      <c r="N14" s="103" t="str">
        <f t="shared" si="4"/>
        <v/>
      </c>
      <c r="O14" s="85" t="str">
        <f t="shared" si="7"/>
        <v/>
      </c>
      <c r="P14" s="162" t="str">
        <f t="shared" si="5"/>
        <v/>
      </c>
      <c r="Q14" s="550"/>
      <c r="R14" s="120">
        <f t="shared" si="1"/>
        <v>0</v>
      </c>
      <c r="S14" s="266">
        <f t="shared" si="2"/>
        <v>0</v>
      </c>
      <c r="T14" s="266">
        <f t="shared" si="8"/>
        <v>0</v>
      </c>
      <c r="U14" s="120"/>
      <c r="V14" s="120"/>
      <c r="W14" s="120"/>
      <c r="X14" s="120"/>
      <c r="Y14" s="120"/>
      <c r="Z14" s="120"/>
      <c r="AA14" s="120"/>
    </row>
    <row r="15" spans="1:29" x14ac:dyDescent="0.15">
      <c r="A15" s="307">
        <v>12</v>
      </c>
      <c r="B15" s="309" t="str">
        <f>IF(W$1=1,Commercio!AB15,Produzione!BG15)</f>
        <v/>
      </c>
      <c r="C15" s="311">
        <f>IF(W$1=1,IF(I15="",0,Commercio!AI15/I15),IF(I15="",0,M15/I15))</f>
        <v>0</v>
      </c>
      <c r="D15" s="309" t="str">
        <f>IF(B15="","",IF(W$1=1,"pz.",Produzione!I15))</f>
        <v/>
      </c>
      <c r="E15" s="61" t="str">
        <f>IF(B15="","",IF(W$1=1,Commercio!AG15,(Produzione!BM15/Produzione!BL15)))</f>
        <v/>
      </c>
      <c r="F15" s="232" t="str">
        <f>IF(B15="","",IF(W$1=1,(Commercio!AH15/Commercio!AD15),Produzione!BN15/Produzione!BL15))</f>
        <v/>
      </c>
      <c r="G15" s="314"/>
      <c r="H15" s="309" t="str">
        <f>IF(B15="","",IF(W$1=1,Commercio!AC15,Produzione!BI15))</f>
        <v/>
      </c>
      <c r="I15" s="164" t="str">
        <f>IF(W$1=1,Commercio!AD15,Produzione!BL15)</f>
        <v/>
      </c>
      <c r="J15" s="61">
        <f t="shared" si="3"/>
        <v>0</v>
      </c>
      <c r="K15" s="55">
        <f t="shared" si="0"/>
        <v>0</v>
      </c>
      <c r="L15" s="82">
        <f>IF(W$1=1,F15,IF(B15="",0,IF(B15="Acquisti",Produzione!BO15-K15,($E$31*J15))))</f>
        <v>0</v>
      </c>
      <c r="M15" s="83">
        <f t="shared" si="6"/>
        <v>0</v>
      </c>
      <c r="N15" s="103" t="str">
        <f t="shared" si="4"/>
        <v/>
      </c>
      <c r="O15" s="85" t="str">
        <f t="shared" si="7"/>
        <v/>
      </c>
      <c r="P15" s="162" t="str">
        <f t="shared" si="5"/>
        <v/>
      </c>
      <c r="Q15" s="550"/>
      <c r="R15" s="120">
        <f t="shared" si="1"/>
        <v>0</v>
      </c>
      <c r="S15" s="266">
        <f t="shared" si="2"/>
        <v>0</v>
      </c>
      <c r="T15" s="266">
        <f t="shared" si="8"/>
        <v>0</v>
      </c>
      <c r="U15" s="120"/>
      <c r="V15" s="120"/>
      <c r="W15" s="120"/>
      <c r="X15" s="120"/>
      <c r="Y15" s="120"/>
      <c r="Z15" s="120"/>
      <c r="AA15" s="120" t="s">
        <v>163</v>
      </c>
    </row>
    <row r="16" spans="1:29" x14ac:dyDescent="0.15">
      <c r="A16" s="307">
        <v>13</v>
      </c>
      <c r="B16" s="309" t="str">
        <f>IF(W$1=1,Commercio!AB16,Produzione!BG16)</f>
        <v/>
      </c>
      <c r="C16" s="311">
        <f>IF(W$1=1,IF(I16="",0,Commercio!AI16/I16),IF(I16="",0,M16/I16))</f>
        <v>0</v>
      </c>
      <c r="D16" s="309" t="str">
        <f>IF(B16="","",IF(W$1=1,"pz.",Produzione!I16))</f>
        <v/>
      </c>
      <c r="E16" s="61" t="str">
        <f>IF(B16="","",IF(W$1=1,Commercio!AG16,(Produzione!BM16/Produzione!BL16)))</f>
        <v/>
      </c>
      <c r="F16" s="232" t="str">
        <f>IF(B16="","",IF(W$1=1,(Commercio!AH16/Commercio!AD16),Produzione!BN16/Produzione!BL16))</f>
        <v/>
      </c>
      <c r="G16" s="314"/>
      <c r="H16" s="309" t="str">
        <f>IF(B16="","",IF(W$1=1,Commercio!AC16,Produzione!BI16))</f>
        <v/>
      </c>
      <c r="I16" s="164" t="str">
        <f>IF(W$1=1,Commercio!AD16,Produzione!BL16)</f>
        <v/>
      </c>
      <c r="J16" s="61">
        <f t="shared" si="3"/>
        <v>0</v>
      </c>
      <c r="K16" s="55">
        <f t="shared" si="0"/>
        <v>0</v>
      </c>
      <c r="L16" s="82">
        <f>IF(W$1=1,F16,IF(B16="",0,IF(B16="Acquisti",Produzione!BO16-K16,($E$31*J16))))</f>
        <v>0</v>
      </c>
      <c r="M16" s="83">
        <f t="shared" si="6"/>
        <v>0</v>
      </c>
      <c r="N16" s="103" t="str">
        <f t="shared" si="4"/>
        <v/>
      </c>
      <c r="O16" s="85" t="str">
        <f t="shared" si="7"/>
        <v/>
      </c>
      <c r="P16" s="162" t="str">
        <f t="shared" si="5"/>
        <v/>
      </c>
      <c r="Q16" s="550"/>
      <c r="R16" s="120">
        <f t="shared" si="1"/>
        <v>0</v>
      </c>
      <c r="S16" s="266">
        <f t="shared" si="2"/>
        <v>0</v>
      </c>
      <c r="T16" s="266">
        <f t="shared" si="8"/>
        <v>0</v>
      </c>
      <c r="U16" s="120"/>
      <c r="V16" s="120"/>
      <c r="W16" s="120"/>
      <c r="X16" s="120"/>
      <c r="Y16" s="120"/>
      <c r="Z16" s="120" t="s">
        <v>160</v>
      </c>
      <c r="AA16" s="120">
        <f>IF(L34="",O19,O19*L34)</f>
        <v>0</v>
      </c>
    </row>
    <row r="17" spans="1:27" x14ac:dyDescent="0.15">
      <c r="A17" s="307">
        <v>14</v>
      </c>
      <c r="B17" s="309" t="str">
        <f>IF(W$1=1,Commercio!AB17,Produzione!BG17)</f>
        <v/>
      </c>
      <c r="C17" s="311">
        <f>IF(W$1=1,IF(I17="",0,Commercio!AI17/I17),IF(I17="",0,M17/I17))</f>
        <v>0</v>
      </c>
      <c r="D17" s="309" t="str">
        <f>IF(B17="","",IF(W$1=1,"pz.",Produzione!I17))</f>
        <v/>
      </c>
      <c r="E17" s="61" t="str">
        <f>IF(B17="","",IF(W$1=1,Commercio!AG17,(Produzione!BM17/Produzione!BL17)))</f>
        <v/>
      </c>
      <c r="F17" s="232" t="str">
        <f>IF(B17="","",IF(W$1=1,(Commercio!AH17/Commercio!AD17),Produzione!BN17/Produzione!BL17))</f>
        <v/>
      </c>
      <c r="G17" s="314"/>
      <c r="H17" s="309" t="str">
        <f>IF(B17="","",IF(W$1=1,Commercio!AC17,Produzione!BI17))</f>
        <v/>
      </c>
      <c r="I17" s="164" t="str">
        <f>IF(W$1=1,Commercio!AD17,Produzione!BL17)</f>
        <v/>
      </c>
      <c r="J17" s="61">
        <f t="shared" si="3"/>
        <v>0</v>
      </c>
      <c r="K17" s="55">
        <f t="shared" si="0"/>
        <v>0</v>
      </c>
      <c r="L17" s="82">
        <f>IF(W$1=1,F17,IF(B17="",0,IF(B17="Acquisti",Produzione!BO17-K17,($E$31*J17))))</f>
        <v>0</v>
      </c>
      <c r="M17" s="83">
        <f t="shared" si="6"/>
        <v>0</v>
      </c>
      <c r="N17" s="103" t="str">
        <f t="shared" si="4"/>
        <v/>
      </c>
      <c r="O17" s="85" t="str">
        <f t="shared" si="7"/>
        <v/>
      </c>
      <c r="P17" s="162" t="str">
        <f t="shared" si="5"/>
        <v/>
      </c>
      <c r="Q17" s="550"/>
      <c r="R17" s="120">
        <f t="shared" si="1"/>
        <v>0</v>
      </c>
      <c r="S17" s="266">
        <f t="shared" si="2"/>
        <v>0</v>
      </c>
      <c r="T17" s="266">
        <f t="shared" si="8"/>
        <v>0</v>
      </c>
      <c r="U17" s="120"/>
      <c r="V17" s="120"/>
      <c r="W17" s="120"/>
      <c r="X17" s="120"/>
      <c r="Y17" s="120"/>
      <c r="Z17" s="120" t="s">
        <v>161</v>
      </c>
      <c r="AA17" s="120">
        <f>IF(K34="",O19,O19*K34)</f>
        <v>0</v>
      </c>
    </row>
    <row r="18" spans="1:27" ht="14" thickBot="1" x14ac:dyDescent="0.2">
      <c r="A18" s="308">
        <v>15</v>
      </c>
      <c r="B18" s="310" t="str">
        <f>IF(W$1=1,Commercio!AB18,Produzione!BG18)</f>
        <v/>
      </c>
      <c r="C18" s="318">
        <f>IF(W$1=1,IF(I18="",0,Commercio!AI18/I18),IF(I18="",0,M18/I18))</f>
        <v>0</v>
      </c>
      <c r="D18" s="310" t="str">
        <f>IF(B18="","",IF(W$1=1,"pz.",Produzione!D18))</f>
        <v/>
      </c>
      <c r="E18" s="62" t="str">
        <f>IF(B18="","",IF(W$1=1,Commercio!AG18,(Produzione!BM18/Produzione!BL18)))</f>
        <v/>
      </c>
      <c r="F18" s="235" t="str">
        <f>IF(B18="","",IF(W$1=1,(Commercio!AH18/Commercio!AD18),Produzione!BN18/Produzione!BL18))</f>
        <v/>
      </c>
      <c r="G18" s="317"/>
      <c r="H18" s="529" t="str">
        <f>IF(B18="","",IF(W$1=1,Commercio!AC18,Produzione!BI18))</f>
        <v/>
      </c>
      <c r="I18" s="333" t="str">
        <f>IF(W$1=1,Commercio!AD18,Produzione!BL18)</f>
        <v/>
      </c>
      <c r="J18" s="312">
        <f t="shared" si="3"/>
        <v>0</v>
      </c>
      <c r="K18" s="56">
        <f t="shared" si="0"/>
        <v>0</v>
      </c>
      <c r="L18" s="56">
        <f>IF(W$1=1,F18,IF(B18="",0,IF(B18="Acquisti",Produzione!BO18-K18,($E$31*J18))))</f>
        <v>0</v>
      </c>
      <c r="M18" s="56">
        <f t="shared" si="6"/>
        <v>0</v>
      </c>
      <c r="N18" s="368" t="str">
        <f t="shared" si="4"/>
        <v/>
      </c>
      <c r="O18" s="87" t="str">
        <f t="shared" si="7"/>
        <v/>
      </c>
      <c r="P18" s="336" t="str">
        <f t="shared" si="5"/>
        <v/>
      </c>
      <c r="Q18" s="550"/>
      <c r="R18" s="120">
        <f>IF(B18="",0,F18*N18)</f>
        <v>0</v>
      </c>
      <c r="S18" s="266">
        <f t="shared" si="2"/>
        <v>0</v>
      </c>
      <c r="T18" s="266">
        <f t="shared" si="8"/>
        <v>0</v>
      </c>
      <c r="U18" s="120"/>
      <c r="V18" s="120"/>
      <c r="W18" s="120"/>
      <c r="X18" s="120"/>
      <c r="Y18" s="120"/>
      <c r="Z18" s="120" t="s">
        <v>162</v>
      </c>
      <c r="AA18" s="124">
        <f>O19</f>
        <v>0</v>
      </c>
    </row>
    <row r="19" spans="1:27" ht="14" thickBot="1" x14ac:dyDescent="0.2">
      <c r="C19" s="36" t="s">
        <v>164</v>
      </c>
      <c r="D19" s="440">
        <f>O23</f>
        <v>5.5</v>
      </c>
      <c r="E19" s="35">
        <f>(J22/O24)/D19</f>
        <v>0</v>
      </c>
      <c r="F19" s="35"/>
      <c r="G19" s="91" t="str">
        <f>S19&amp;":"&amp;S21</f>
        <v>0:0</v>
      </c>
      <c r="H19" s="1" t="s">
        <v>165</v>
      </c>
      <c r="J19" s="63">
        <f>IF(W1=1,SUM(J4:J18),IF(Produzione!R107=0,Produzione!Q54,Produzione!R107))</f>
        <v>0</v>
      </c>
      <c r="K19" s="281">
        <f>SUM(K4:K18)</f>
        <v>0</v>
      </c>
      <c r="L19" s="115"/>
      <c r="M19" s="319">
        <f>SUM(M4:M18)</f>
        <v>0</v>
      </c>
      <c r="N19" s="36" t="s">
        <v>166</v>
      </c>
      <c r="O19" s="678">
        <f>SUM(O4:O18)</f>
        <v>0</v>
      </c>
      <c r="P19" s="337">
        <f>IF(J19=0,0,AVERAGE(P4:P18))</f>
        <v>0</v>
      </c>
      <c r="Q19" s="116"/>
      <c r="R19" s="120">
        <f>SUM(R4:R18)</f>
        <v>0</v>
      </c>
      <c r="S19" s="122">
        <f>INT(E19)</f>
        <v>0</v>
      </c>
      <c r="T19" s="120"/>
      <c r="U19" s="120"/>
      <c r="V19" s="120"/>
      <c r="W19" s="120"/>
      <c r="X19" s="120"/>
      <c r="Y19" s="120"/>
      <c r="Z19" s="120" t="s">
        <v>152</v>
      </c>
      <c r="AA19" s="120">
        <f>(M19-K19)*12</f>
        <v>0</v>
      </c>
    </row>
    <row r="20" spans="1:27" ht="15" thickTop="1" thickBot="1" x14ac:dyDescent="0.2">
      <c r="E20" s="90"/>
      <c r="I20" s="36" t="str">
        <f>IF(W1=1,SUM(I4:I18)&amp;" prodotti mese","")</f>
        <v/>
      </c>
      <c r="O20" s="113"/>
      <c r="Q20" s="116"/>
      <c r="R20" s="120"/>
      <c r="S20" s="266">
        <f>(((E19-S19)/100)*60)*100</f>
        <v>0</v>
      </c>
      <c r="T20" s="120"/>
      <c r="U20" s="120"/>
      <c r="V20" s="120"/>
      <c r="W20" s="120"/>
      <c r="X20" s="120"/>
      <c r="Y20" s="120"/>
      <c r="Z20" s="120" t="s">
        <v>167</v>
      </c>
      <c r="AA20" s="339" t="e">
        <f>(K19*12)/O19</f>
        <v>#DIV/0!</v>
      </c>
    </row>
    <row r="21" spans="1:27" ht="14" thickBot="1" x14ac:dyDescent="0.2">
      <c r="D21" s="89" t="s">
        <v>168</v>
      </c>
      <c r="E21" s="95">
        <f>IF(W1=1,0,Produzione!R107*12)</f>
        <v>0</v>
      </c>
      <c r="J21" s="358" t="s">
        <v>67</v>
      </c>
      <c r="K21" s="72" t="s">
        <v>66</v>
      </c>
      <c r="L21" s="73" t="s">
        <v>65</v>
      </c>
      <c r="M21" s="445" t="s">
        <v>169</v>
      </c>
      <c r="N21" s="445"/>
      <c r="O21" s="445"/>
      <c r="P21" s="445"/>
      <c r="Q21" s="116"/>
      <c r="R21" s="120"/>
      <c r="S21" s="120">
        <f>CEILING(S20,1)</f>
        <v>0</v>
      </c>
      <c r="T21" s="120"/>
      <c r="U21" s="120"/>
      <c r="V21" s="120"/>
      <c r="W21" s="120"/>
      <c r="X21" s="120"/>
      <c r="Y21" s="120"/>
      <c r="Z21" s="120"/>
      <c r="AA21" s="120"/>
    </row>
    <row r="22" spans="1:27" ht="14" thickBot="1" x14ac:dyDescent="0.2">
      <c r="B22" s="90"/>
      <c r="D22" s="89" t="s">
        <v>170</v>
      </c>
      <c r="E22" s="446">
        <f>J23/O28</f>
        <v>0</v>
      </c>
      <c r="I22" s="36" t="s">
        <v>171</v>
      </c>
      <c r="J22" s="344">
        <f>J19*12</f>
        <v>0</v>
      </c>
      <c r="K22" s="347">
        <f>J19*12</f>
        <v>0</v>
      </c>
      <c r="L22" s="347">
        <f>J19*12</f>
        <v>0</v>
      </c>
      <c r="N22" s="158" t="s">
        <v>172</v>
      </c>
      <c r="O22" s="627">
        <v>8</v>
      </c>
      <c r="Q22" s="116"/>
      <c r="R22" s="120"/>
      <c r="S22" s="120"/>
      <c r="T22" s="120"/>
      <c r="U22" s="120"/>
      <c r="V22" s="120" t="s">
        <v>173</v>
      </c>
      <c r="W22" s="120"/>
      <c r="X22" s="120"/>
      <c r="Y22" s="120"/>
      <c r="Z22" s="120"/>
      <c r="AA22" s="120"/>
    </row>
    <row r="23" spans="1:27" ht="14" thickBot="1" x14ac:dyDescent="0.2">
      <c r="E23" s="332"/>
      <c r="I23" s="36" t="s">
        <v>174</v>
      </c>
      <c r="J23" s="165">
        <f>IF(E24="",J22,J22*E24)</f>
        <v>0</v>
      </c>
      <c r="K23" s="335">
        <f>IF(W1=1,E22,IF(K34="",K22*$J24,K22*K34))</f>
        <v>0</v>
      </c>
      <c r="L23" s="335">
        <f>IF(W1=1,E22,IF(L34="",L22*$J24,L22*L34))</f>
        <v>0</v>
      </c>
      <c r="N23" s="169" t="s">
        <v>175</v>
      </c>
      <c r="O23" s="628">
        <v>5.5</v>
      </c>
      <c r="Q23" s="116"/>
      <c r="R23" s="120"/>
      <c r="S23" s="120"/>
      <c r="T23" s="120"/>
      <c r="U23" s="120"/>
      <c r="V23" s="120" t="s">
        <v>176</v>
      </c>
      <c r="W23" s="120" t="s">
        <v>162</v>
      </c>
      <c r="X23" s="120" t="s">
        <v>161</v>
      </c>
      <c r="Y23" s="120" t="s">
        <v>160</v>
      </c>
      <c r="Z23" s="120" t="s">
        <v>177</v>
      </c>
      <c r="AA23" s="120"/>
    </row>
    <row r="24" spans="1:27" ht="14" thickBot="1" x14ac:dyDescent="0.2">
      <c r="D24" s="89" t="s">
        <v>178</v>
      </c>
      <c r="E24" s="626"/>
      <c r="I24" s="36" t="s">
        <v>179</v>
      </c>
      <c r="J24" s="138">
        <f>IF(J22=0,0,IF(W1=1,E22,J23/J22))</f>
        <v>0</v>
      </c>
      <c r="K24" s="342">
        <f>IF(J22=0,0,IF(W1=1,E22,K23/K22))</f>
        <v>0</v>
      </c>
      <c r="L24" s="342">
        <f>IF(J22=0,0,IF(W1=1,E22,L23/L22))</f>
        <v>0</v>
      </c>
      <c r="N24" s="158" t="s">
        <v>180</v>
      </c>
      <c r="O24" s="629">
        <v>42</v>
      </c>
      <c r="Q24" s="116"/>
      <c r="R24" s="120"/>
      <c r="S24" s="120"/>
      <c r="T24" s="120"/>
      <c r="U24" s="120"/>
      <c r="V24" s="120">
        <v>1</v>
      </c>
      <c r="W24" s="122" t="str">
        <f t="shared" ref="W24:W38" si="9">I4</f>
        <v/>
      </c>
      <c r="X24" s="120">
        <f>IF(B4="",0,INT(W24*$K$34))</f>
        <v>0</v>
      </c>
      <c r="Y24" s="120">
        <f>IF(B4="",0,INT(W24*$L$34))</f>
        <v>0</v>
      </c>
      <c r="Z24" s="122" t="str">
        <f t="shared" ref="Z24:Z38" si="10">H4</f>
        <v/>
      </c>
      <c r="AA24" s="120"/>
    </row>
    <row r="25" spans="1:27" x14ac:dyDescent="0.15">
      <c r="I25" s="36" t="s">
        <v>181</v>
      </c>
      <c r="J25" s="138">
        <f>IF(E21=0,0,J22/$E$21)</f>
        <v>0</v>
      </c>
      <c r="K25" s="342">
        <f>IF(E21=0,0,K22/$E$21)</f>
        <v>0</v>
      </c>
      <c r="L25" s="342">
        <f>IF(E21=0,0,L22/$E$21)</f>
        <v>0</v>
      </c>
      <c r="N25" s="158" t="s">
        <v>182</v>
      </c>
      <c r="O25" s="629">
        <v>12</v>
      </c>
      <c r="Q25" s="116"/>
      <c r="R25" s="120"/>
      <c r="S25" s="122">
        <f>L32-Costi!G9-L31</f>
        <v>0</v>
      </c>
      <c r="T25" s="120"/>
      <c r="U25" s="120"/>
      <c r="V25" s="120">
        <v>2</v>
      </c>
      <c r="W25" s="122" t="str">
        <f t="shared" si="9"/>
        <v/>
      </c>
      <c r="X25" s="120">
        <f t="shared" ref="X25:X38" si="11">IF(B5="",0,INT(W25*$K$34))</f>
        <v>0</v>
      </c>
      <c r="Y25" s="120">
        <f t="shared" ref="Y25:Y38" si="12">IF(B5="",0,INT(W25*$L$34))</f>
        <v>0</v>
      </c>
      <c r="Z25" s="122" t="str">
        <f t="shared" si="10"/>
        <v/>
      </c>
      <c r="AA25" s="120"/>
    </row>
    <row r="26" spans="1:27" ht="14" thickBot="1" x14ac:dyDescent="0.2">
      <c r="I26" s="36" t="s">
        <v>183</v>
      </c>
      <c r="J26" s="346">
        <v>1</v>
      </c>
      <c r="K26" s="343">
        <f>IF(W1=1,K34,IF(K22=0,0,K23/K22))</f>
        <v>0</v>
      </c>
      <c r="L26" s="343">
        <f>IF(W1=1,K34,IF(L22=0,0,L23/L22))</f>
        <v>0</v>
      </c>
      <c r="N26" s="158" t="s">
        <v>184</v>
      </c>
      <c r="O26" s="630">
        <v>1</v>
      </c>
      <c r="Q26" s="116"/>
      <c r="R26" s="120"/>
      <c r="S26" s="122">
        <f>K32-Costi!F9-K31</f>
        <v>0</v>
      </c>
      <c r="T26" s="120"/>
      <c r="U26" s="120"/>
      <c r="V26" s="120">
        <v>3</v>
      </c>
      <c r="W26" s="122" t="str">
        <f t="shared" si="9"/>
        <v/>
      </c>
      <c r="X26" s="120">
        <f t="shared" si="11"/>
        <v>0</v>
      </c>
      <c r="Y26" s="120">
        <f t="shared" si="12"/>
        <v>0</v>
      </c>
      <c r="Z26" s="122" t="str">
        <f t="shared" si="10"/>
        <v/>
      </c>
      <c r="AA26" s="120"/>
    </row>
    <row r="27" spans="1:27" x14ac:dyDescent="0.15">
      <c r="G27" s="36"/>
      <c r="H27" s="39"/>
      <c r="I27" s="39"/>
      <c r="N27" s="89" t="s">
        <v>185</v>
      </c>
      <c r="O27" s="413" t="s">
        <v>186</v>
      </c>
      <c r="Q27" s="116"/>
      <c r="R27" s="120"/>
      <c r="S27" s="122">
        <f>J32-Costi!E9-J31</f>
        <v>0</v>
      </c>
      <c r="T27" s="120"/>
      <c r="U27" s="120"/>
      <c r="V27" s="120">
        <v>4</v>
      </c>
      <c r="W27" s="122" t="str">
        <f t="shared" si="9"/>
        <v/>
      </c>
      <c r="X27" s="120">
        <f t="shared" si="11"/>
        <v>0</v>
      </c>
      <c r="Y27" s="120">
        <f t="shared" si="12"/>
        <v>0</v>
      </c>
      <c r="Z27" s="122" t="str">
        <f t="shared" si="10"/>
        <v/>
      </c>
      <c r="AA27" s="120"/>
    </row>
    <row r="28" spans="1:27" ht="16" x14ac:dyDescent="0.2">
      <c r="A28" s="20" t="s">
        <v>187</v>
      </c>
      <c r="J28" s="41" t="str">
        <f>IF(W1=1,"Cifra d'affari in funzione ai prodotti","Cifra d'affari in funzione al lavoro")</f>
        <v>Cifra d'affari in funzione al lavoro</v>
      </c>
      <c r="K28" s="41"/>
      <c r="L28" s="42"/>
      <c r="N28" s="414">
        <f>O24*O23</f>
        <v>231</v>
      </c>
      <c r="O28" s="414">
        <f>O22*N28*O26</f>
        <v>1848</v>
      </c>
      <c r="Q28" s="116"/>
      <c r="R28" s="120"/>
      <c r="S28" s="122">
        <f>SUM(S25:S27)</f>
        <v>0</v>
      </c>
      <c r="T28" s="120"/>
      <c r="U28" s="120"/>
      <c r="V28" s="120">
        <v>5</v>
      </c>
      <c r="W28" s="122" t="str">
        <f t="shared" si="9"/>
        <v/>
      </c>
      <c r="X28" s="120">
        <f t="shared" si="11"/>
        <v>0</v>
      </c>
      <c r="Y28" s="120">
        <f t="shared" si="12"/>
        <v>0</v>
      </c>
      <c r="Z28" s="122" t="str">
        <f t="shared" si="10"/>
        <v/>
      </c>
      <c r="AA28" s="120"/>
    </row>
    <row r="29" spans="1:27" ht="16" x14ac:dyDescent="0.2">
      <c r="A29" s="20"/>
      <c r="B29" s="46"/>
      <c r="C29" s="46"/>
      <c r="D29" s="46"/>
      <c r="E29" s="46"/>
      <c r="F29" s="46"/>
      <c r="G29" s="642" t="s">
        <v>67</v>
      </c>
      <c r="H29" s="46"/>
      <c r="I29" s="46"/>
      <c r="J29" s="643"/>
      <c r="K29" s="643"/>
      <c r="L29" s="46"/>
      <c r="M29" s="40"/>
      <c r="O29" s="113"/>
      <c r="P29" s="710" t="str">
        <f>IF(W1=2,Produzione!Q2,"")</f>
        <v/>
      </c>
      <c r="Q29" s="116"/>
      <c r="R29" s="120"/>
      <c r="S29" s="120"/>
      <c r="T29" s="266"/>
      <c r="U29" s="120"/>
      <c r="V29" s="120">
        <v>6</v>
      </c>
      <c r="W29" s="122" t="str">
        <f t="shared" si="9"/>
        <v/>
      </c>
      <c r="X29" s="120">
        <f t="shared" si="11"/>
        <v>0</v>
      </c>
      <c r="Y29" s="120">
        <f t="shared" si="12"/>
        <v>0</v>
      </c>
      <c r="Z29" s="122" t="str">
        <f t="shared" si="10"/>
        <v/>
      </c>
      <c r="AA29" s="120"/>
    </row>
    <row r="30" spans="1:27" ht="14" thickBot="1" x14ac:dyDescent="0.2">
      <c r="A30" s="88" t="s">
        <v>188</v>
      </c>
      <c r="B30" s="33" t="s">
        <v>189</v>
      </c>
      <c r="C30" s="33" t="s">
        <v>190</v>
      </c>
      <c r="D30" s="33" t="s">
        <v>191</v>
      </c>
      <c r="E30" s="33" t="s">
        <v>192</v>
      </c>
      <c r="F30" s="33" t="s">
        <v>193</v>
      </c>
      <c r="G30" s="33"/>
      <c r="H30" s="110" t="s">
        <v>194</v>
      </c>
      <c r="I30" s="290"/>
      <c r="J30" s="265" t="s">
        <v>67</v>
      </c>
      <c r="K30" s="43" t="s">
        <v>66</v>
      </c>
      <c r="L30" s="44" t="s">
        <v>65</v>
      </c>
      <c r="O30" s="113"/>
      <c r="P30"/>
      <c r="Q30" s="116"/>
      <c r="R30" s="120"/>
      <c r="S30" s="266"/>
      <c r="T30" s="120"/>
      <c r="U30" s="120"/>
      <c r="V30" s="120">
        <v>7</v>
      </c>
      <c r="W30" s="122" t="str">
        <f t="shared" si="9"/>
        <v/>
      </c>
      <c r="X30" s="120">
        <f t="shared" si="11"/>
        <v>0</v>
      </c>
      <c r="Y30" s="120">
        <f t="shared" si="12"/>
        <v>0</v>
      </c>
      <c r="Z30" s="122" t="str">
        <f t="shared" si="10"/>
        <v/>
      </c>
      <c r="AA30" s="120"/>
    </row>
    <row r="31" spans="1:27" ht="14" thickBot="1" x14ac:dyDescent="0.2">
      <c r="A31" s="631" t="s">
        <v>58</v>
      </c>
      <c r="B31" s="5" t="str">
        <f>IF(A31="si", "Fissa il prezzo ora","Automatico")</f>
        <v>Automatico</v>
      </c>
      <c r="C31" s="5" t="s">
        <v>195</v>
      </c>
      <c r="D31" s="59">
        <f>J19</f>
        <v>0</v>
      </c>
      <c r="E31" s="166">
        <f>IF(W1=1,0,IF(A31="SI",B32,F31))</f>
        <v>0</v>
      </c>
      <c r="F31" s="202">
        <f>IF(W1=1,0,IF(S37=0,0,S37/(J22*J24)))</f>
        <v>0</v>
      </c>
      <c r="G31" s="203"/>
      <c r="J31" s="340">
        <f>Costi!G116</f>
        <v>0</v>
      </c>
      <c r="K31" s="58">
        <f>Costi!F116</f>
        <v>0</v>
      </c>
      <c r="L31" s="129">
        <f>Costi!E116</f>
        <v>0</v>
      </c>
      <c r="M31" s="1" t="s">
        <v>152</v>
      </c>
      <c r="O31" s="113"/>
      <c r="P31"/>
      <c r="Q31" s="116"/>
      <c r="R31" s="120"/>
      <c r="S31" s="277" t="s">
        <v>37</v>
      </c>
      <c r="T31" s="267" t="s">
        <v>196</v>
      </c>
      <c r="U31" s="120"/>
      <c r="V31" s="120">
        <v>8</v>
      </c>
      <c r="W31" s="122" t="str">
        <f t="shared" si="9"/>
        <v/>
      </c>
      <c r="X31" s="120">
        <f t="shared" si="11"/>
        <v>0</v>
      </c>
      <c r="Y31" s="120">
        <f t="shared" si="12"/>
        <v>0</v>
      </c>
      <c r="Z31" s="122" t="str">
        <f t="shared" si="10"/>
        <v/>
      </c>
      <c r="AA31" s="120"/>
    </row>
    <row r="32" spans="1:27" ht="14" thickBot="1" x14ac:dyDescent="0.2">
      <c r="B32" s="632"/>
      <c r="C32" s="7" t="s">
        <v>197</v>
      </c>
      <c r="D32" s="69">
        <f>J19</f>
        <v>0</v>
      </c>
      <c r="E32" s="167">
        <f>IF(W1=1,0,F32)</f>
        <v>0</v>
      </c>
      <c r="F32" s="204">
        <f>IF(W1=1,0,IF(C38=0,0,C38/(J22*J24)+C38/((K19*12)*J24)))</f>
        <v>0</v>
      </c>
      <c r="G32" s="205"/>
      <c r="J32" s="341">
        <f>IF(W1=1,O19,(O19*J24)-S60)</f>
        <v>0</v>
      </c>
      <c r="K32" s="70">
        <f>IF(W1=1,AA9,AA17-S60)</f>
        <v>0</v>
      </c>
      <c r="L32" s="71">
        <f>IF(W1=1,AA8,AA16-S60)</f>
        <v>0</v>
      </c>
      <c r="M32" s="1" t="s">
        <v>155</v>
      </c>
      <c r="O32" s="113"/>
      <c r="P32"/>
      <c r="Q32" s="116"/>
      <c r="R32" s="120"/>
      <c r="S32" s="278">
        <f>K31+IF(K34="",R19+U82,(R19+U82)*K34)</f>
        <v>0</v>
      </c>
      <c r="T32" s="269">
        <f>L31+IF(L34="",R19+U82,(R19+U82)*L34)</f>
        <v>0</v>
      </c>
      <c r="U32" s="120"/>
      <c r="V32" s="120">
        <v>9</v>
      </c>
      <c r="W32" s="122" t="str">
        <f t="shared" si="9"/>
        <v/>
      </c>
      <c r="X32" s="120">
        <f t="shared" si="11"/>
        <v>0</v>
      </c>
      <c r="Y32" s="120">
        <f t="shared" si="12"/>
        <v>0</v>
      </c>
      <c r="Z32" s="122" t="str">
        <f t="shared" si="10"/>
        <v/>
      </c>
      <c r="AA32" s="120"/>
    </row>
    <row r="33" spans="1:39" ht="14" thickBot="1" x14ac:dyDescent="0.2">
      <c r="B33" s="125"/>
      <c r="C33" s="6"/>
      <c r="D33" s="126"/>
      <c r="E33" s="127"/>
      <c r="F33" s="127"/>
      <c r="G33" s="128"/>
      <c r="J33" s="198" t="s">
        <v>198</v>
      </c>
      <c r="K33" s="168">
        <f>IF(W1=1,0,IF(K34="",$E31,IF(E38=0,0,E38/(K23))))</f>
        <v>0</v>
      </c>
      <c r="L33" s="168">
        <f>IF(W1=1,0,IF(L34="",$E31,IF(H38=0,0,H38/(L22*L34))))</f>
        <v>0</v>
      </c>
      <c r="M33" s="1" t="s">
        <v>199</v>
      </c>
      <c r="O33" s="113"/>
      <c r="P33"/>
      <c r="Q33" s="116"/>
      <c r="R33" s="120"/>
      <c r="S33" s="278">
        <f>(E31-K33)*K23</f>
        <v>0</v>
      </c>
      <c r="T33" s="279">
        <f>(E31-L33)*L23</f>
        <v>0</v>
      </c>
      <c r="U33" s="120"/>
      <c r="V33" s="120">
        <v>10</v>
      </c>
      <c r="W33" s="122" t="str">
        <f t="shared" si="9"/>
        <v/>
      </c>
      <c r="X33" s="120">
        <f t="shared" si="11"/>
        <v>0</v>
      </c>
      <c r="Y33" s="120">
        <f t="shared" si="12"/>
        <v>0</v>
      </c>
      <c r="Z33" s="122" t="str">
        <f t="shared" si="10"/>
        <v/>
      </c>
      <c r="AA33" s="120"/>
    </row>
    <row r="34" spans="1:39" ht="14" thickBot="1" x14ac:dyDescent="0.2">
      <c r="B34" s="6"/>
      <c r="C34" s="37"/>
      <c r="D34" s="37"/>
      <c r="E34" s="6"/>
      <c r="F34" s="6"/>
      <c r="G34" s="125"/>
      <c r="J34" s="158" t="s">
        <v>200</v>
      </c>
      <c r="K34" s="644"/>
      <c r="L34" s="633"/>
      <c r="M34" s="1" t="s">
        <v>201</v>
      </c>
      <c r="O34" s="113"/>
      <c r="P34"/>
      <c r="Q34" s="116"/>
      <c r="R34" s="120"/>
      <c r="S34" s="280">
        <f>S32+S33</f>
        <v>0</v>
      </c>
      <c r="T34" s="270">
        <f>T32+T33</f>
        <v>0</v>
      </c>
      <c r="U34" s="120"/>
      <c r="V34" s="120">
        <v>11</v>
      </c>
      <c r="W34" s="122" t="str">
        <f t="shared" si="9"/>
        <v/>
      </c>
      <c r="X34" s="120">
        <f t="shared" si="11"/>
        <v>0</v>
      </c>
      <c r="Y34" s="120">
        <f t="shared" si="12"/>
        <v>0</v>
      </c>
      <c r="Z34" s="122" t="str">
        <f t="shared" si="10"/>
        <v/>
      </c>
      <c r="AA34" s="120"/>
    </row>
    <row r="35" spans="1:39" ht="14" thickBot="1" x14ac:dyDescent="0.2">
      <c r="B35" s="89" t="s">
        <v>132</v>
      </c>
      <c r="C35" s="712">
        <v>0.3</v>
      </c>
      <c r="D35" s="37"/>
      <c r="E35" s="6"/>
      <c r="F35" s="6"/>
      <c r="I35" s="289" t="s">
        <v>202</v>
      </c>
      <c r="J35" s="288">
        <f>Tes.3°!M42</f>
        <v>0</v>
      </c>
      <c r="K35" s="199">
        <f>Tes.2°!M42</f>
        <v>0</v>
      </c>
      <c r="L35" s="199">
        <f>Tes.1°!M42</f>
        <v>0</v>
      </c>
      <c r="O35" s="113"/>
      <c r="P35"/>
      <c r="Q35" s="116"/>
      <c r="R35" s="120"/>
      <c r="S35" s="120"/>
      <c r="T35" s="120"/>
      <c r="U35" s="120"/>
      <c r="V35" s="120">
        <v>12</v>
      </c>
      <c r="W35" s="122" t="str">
        <f t="shared" si="9"/>
        <v/>
      </c>
      <c r="X35" s="120">
        <f t="shared" si="11"/>
        <v>0</v>
      </c>
      <c r="Y35" s="120">
        <f t="shared" si="12"/>
        <v>0</v>
      </c>
      <c r="Z35" s="122" t="str">
        <f t="shared" si="10"/>
        <v/>
      </c>
      <c r="AA35" s="120"/>
    </row>
    <row r="36" spans="1:39" x14ac:dyDescent="0.15">
      <c r="B36" s="6"/>
      <c r="C36" s="37"/>
      <c r="D36" s="37"/>
      <c r="E36" s="6"/>
      <c r="F36" s="6"/>
      <c r="G36" s="29"/>
      <c r="M36"/>
      <c r="N36"/>
      <c r="O36" s="113"/>
      <c r="P36"/>
      <c r="Q36" s="116"/>
      <c r="R36" s="120"/>
      <c r="S36" s="120" t="s">
        <v>434</v>
      </c>
      <c r="T36" s="120"/>
      <c r="U36" s="120"/>
      <c r="V36" s="120">
        <v>13</v>
      </c>
      <c r="W36" s="122" t="str">
        <f t="shared" si="9"/>
        <v/>
      </c>
      <c r="X36" s="120">
        <f t="shared" si="11"/>
        <v>0</v>
      </c>
      <c r="Y36" s="120">
        <f t="shared" si="12"/>
        <v>0</v>
      </c>
      <c r="Z36" s="122" t="str">
        <f t="shared" si="10"/>
        <v/>
      </c>
      <c r="AA36" s="120"/>
    </row>
    <row r="37" spans="1:39" ht="14" thickBot="1" x14ac:dyDescent="0.2">
      <c r="C37" s="28" t="s">
        <v>67</v>
      </c>
      <c r="D37" s="28"/>
      <c r="E37" s="139" t="s">
        <v>66</v>
      </c>
      <c r="F37" s="139"/>
      <c r="G37"/>
      <c r="H37" s="212" t="s">
        <v>65</v>
      </c>
      <c r="I37" s="201"/>
      <c r="J37"/>
      <c r="K37" s="89"/>
      <c r="L37" s="215"/>
      <c r="M37"/>
      <c r="N37"/>
      <c r="O37" s="113"/>
      <c r="P37"/>
      <c r="Q37" s="116"/>
      <c r="R37" s="120"/>
      <c r="S37" s="266">
        <f>IF(C38=0,0,(C38+E38+H38)/3)</f>
        <v>0</v>
      </c>
      <c r="T37" s="120"/>
      <c r="U37" s="120"/>
      <c r="V37" s="120">
        <v>14</v>
      </c>
      <c r="W37" s="122" t="str">
        <f t="shared" si="9"/>
        <v/>
      </c>
      <c r="X37" s="120">
        <f t="shared" si="11"/>
        <v>0</v>
      </c>
      <c r="Y37" s="120">
        <f t="shared" si="12"/>
        <v>0</v>
      </c>
      <c r="Z37" s="122" t="str">
        <f t="shared" si="10"/>
        <v/>
      </c>
      <c r="AA37" s="120"/>
    </row>
    <row r="38" spans="1:39" ht="14" thickBot="1" x14ac:dyDescent="0.2">
      <c r="A38" s="34"/>
      <c r="B38" s="160" t="s">
        <v>203</v>
      </c>
      <c r="C38" s="57">
        <f>Costi!G116</f>
        <v>0</v>
      </c>
      <c r="D38" s="101"/>
      <c r="E38" s="206">
        <f>Costi!F116</f>
        <v>0</v>
      </c>
      <c r="F38" s="207"/>
      <c r="G38"/>
      <c r="H38" s="206">
        <f>Costi!E116</f>
        <v>0</v>
      </c>
      <c r="I38" s="213"/>
      <c r="J38"/>
      <c r="K38"/>
      <c r="L38"/>
      <c r="M38"/>
      <c r="N38"/>
      <c r="O38"/>
      <c r="P38"/>
      <c r="Q38" s="116"/>
      <c r="R38" s="120"/>
      <c r="S38" s="120"/>
      <c r="T38" s="120"/>
      <c r="U38" s="120"/>
      <c r="V38" s="120">
        <v>15</v>
      </c>
      <c r="W38" s="122" t="str">
        <f t="shared" si="9"/>
        <v/>
      </c>
      <c r="X38" s="120">
        <f t="shared" si="11"/>
        <v>0</v>
      </c>
      <c r="Y38" s="120">
        <f t="shared" si="12"/>
        <v>0</v>
      </c>
      <c r="Z38" s="122" t="str">
        <f t="shared" si="10"/>
        <v/>
      </c>
      <c r="AA38" s="120"/>
    </row>
    <row r="39" spans="1:39" ht="14" thickBot="1" x14ac:dyDescent="0.2">
      <c r="A39" s="109"/>
      <c r="B39" s="159" t="s">
        <v>204</v>
      </c>
      <c r="C39" s="57">
        <f>(Costi!G113-Costi!G9)/12</f>
        <v>0</v>
      </c>
      <c r="D39" s="101"/>
      <c r="E39" s="208">
        <f>(Costi!F113-Costi!F9)/12</f>
        <v>0</v>
      </c>
      <c r="F39" s="209"/>
      <c r="G39"/>
      <c r="H39" s="208">
        <f>(Costi!E113-Costi!E9)/12</f>
        <v>0</v>
      </c>
      <c r="I39" s="214"/>
      <c r="J39"/>
      <c r="K39"/>
      <c r="L39"/>
      <c r="M39"/>
      <c r="N39"/>
      <c r="O39"/>
      <c r="P39"/>
      <c r="Q39" s="116"/>
      <c r="R39" s="116"/>
      <c r="S39" s="116"/>
      <c r="T39" s="482"/>
      <c r="U39" s="116"/>
      <c r="V39" s="116"/>
      <c r="W39" s="116"/>
      <c r="X39" s="116"/>
      <c r="Y39" s="116"/>
      <c r="Z39" s="116"/>
      <c r="AA39" s="116"/>
      <c r="AB39" s="116"/>
      <c r="AC39" s="116"/>
    </row>
    <row r="40" spans="1:39" ht="14" thickBot="1" x14ac:dyDescent="0.2">
      <c r="A40" s="109"/>
      <c r="B40" s="159" t="s">
        <v>205</v>
      </c>
      <c r="C40" s="57">
        <f>Costi!G113/12</f>
        <v>0</v>
      </c>
      <c r="D40" s="101"/>
      <c r="E40" s="210">
        <f>Costi!F113/12</f>
        <v>0</v>
      </c>
      <c r="F40" s="211"/>
      <c r="G40"/>
      <c r="H40" s="210">
        <f>Costi!E113/12</f>
        <v>0</v>
      </c>
      <c r="I40" s="205"/>
      <c r="J40"/>
      <c r="K40"/>
      <c r="L40"/>
      <c r="M40"/>
      <c r="N40"/>
      <c r="O40"/>
      <c r="P40" s="718" t="s">
        <v>504</v>
      </c>
      <c r="Q40" s="116"/>
      <c r="R40" s="116"/>
      <c r="S40" s="116"/>
      <c r="T40" s="447"/>
      <c r="U40" s="116"/>
      <c r="V40" s="116"/>
      <c r="W40" s="116"/>
      <c r="X40" s="116"/>
      <c r="Y40" s="116"/>
      <c r="Z40" s="116"/>
      <c r="AA40" s="116"/>
      <c r="AB40" s="116"/>
      <c r="AC40" s="116"/>
    </row>
    <row r="41" spans="1:39" ht="7.5" customHeight="1" x14ac:dyDescent="0.15">
      <c r="G41" s="38"/>
      <c r="K41" s="67"/>
      <c r="L41" s="119"/>
      <c r="Q41" s="116"/>
      <c r="R41" s="117"/>
      <c r="S41" s="117"/>
      <c r="T41" s="576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</row>
    <row r="42" spans="1:39" ht="16" x14ac:dyDescent="0.2">
      <c r="A42" s="20" t="s">
        <v>462</v>
      </c>
      <c r="G42" s="38"/>
      <c r="K42" s="559" t="s">
        <v>453</v>
      </c>
      <c r="L42" s="119"/>
      <c r="P42" s="714" t="str">
        <f>MID([1]Persona!$D$12,1,30)</f>
        <v/>
      </c>
      <c r="Q42" s="116"/>
      <c r="R42" s="117"/>
      <c r="S42" s="117"/>
      <c r="T42" s="576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</row>
    <row r="43" spans="1:39" ht="6" customHeight="1" thickBo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551"/>
      <c r="R43"/>
      <c r="S43"/>
      <c r="T43" s="576"/>
      <c r="U43" s="155"/>
      <c r="V43" s="117"/>
      <c r="W43" s="117"/>
      <c r="X43" s="117"/>
      <c r="Y43" s="117"/>
      <c r="Z43" s="117"/>
      <c r="AA43" s="117"/>
      <c r="AB43" s="117"/>
      <c r="AC43" s="571"/>
      <c r="AD43" s="571"/>
      <c r="AE43" s="117"/>
      <c r="AF43" s="117"/>
      <c r="AG43" s="117"/>
      <c r="AH43" s="117"/>
      <c r="AI43" s="117"/>
      <c r="AJ43" s="117"/>
      <c r="AK43" s="117"/>
      <c r="AL43" s="117"/>
      <c r="AM43" s="117"/>
    </row>
    <row r="44" spans="1:39" ht="14" thickBot="1" x14ac:dyDescent="0.2">
      <c r="A44" s="261"/>
      <c r="B44" s="30" t="s">
        <v>248</v>
      </c>
      <c r="C44" s="30" t="s">
        <v>498</v>
      </c>
      <c r="D44" s="30" t="s">
        <v>460</v>
      </c>
      <c r="E44" s="30" t="s">
        <v>459</v>
      </c>
      <c r="F44" s="736" t="s">
        <v>461</v>
      </c>
      <c r="G44" s="737"/>
      <c r="H44" s="262" t="s">
        <v>455</v>
      </c>
      <c r="I44" s="263"/>
      <c r="J44"/>
      <c r="K44" s="542" t="s">
        <v>439</v>
      </c>
      <c r="L44" s="543"/>
      <c r="M44" s="544" t="s">
        <v>438</v>
      </c>
      <c r="N44" s="545" t="s">
        <v>440</v>
      </c>
      <c r="O44"/>
      <c r="P44"/>
      <c r="Q44" s="551"/>
      <c r="R44" s="273"/>
      <c r="S44" s="273"/>
      <c r="T44" s="596" t="s">
        <v>467</v>
      </c>
      <c r="U44" s="561" t="s">
        <v>469</v>
      </c>
      <c r="V44" s="268"/>
      <c r="W44" s="268"/>
      <c r="X44" s="117"/>
      <c r="Y44" s="117"/>
      <c r="Z44" s="117"/>
      <c r="AA44" s="117"/>
      <c r="AB44" s="117"/>
      <c r="AC44" s="571"/>
      <c r="AD44" s="571"/>
      <c r="AE44" s="117"/>
      <c r="AF44" s="117"/>
      <c r="AG44" s="117"/>
      <c r="AH44" s="117"/>
      <c r="AI44" s="117"/>
      <c r="AJ44" s="117"/>
      <c r="AK44" s="117"/>
      <c r="AL44" s="117"/>
      <c r="AM44" s="117"/>
    </row>
    <row r="45" spans="1:39" x14ac:dyDescent="0.15">
      <c r="A45" s="256">
        <v>1</v>
      </c>
      <c r="B45" s="84" t="str">
        <f>Produzione!AD64</f>
        <v/>
      </c>
      <c r="C45" s="565">
        <f>Produzione!AO64*12</f>
        <v>0</v>
      </c>
      <c r="D45" s="258">
        <f t="shared" ref="D45:D59" si="13">IF(B45=0,0,E45/$O$28)</f>
        <v>0</v>
      </c>
      <c r="E45" s="552">
        <f>Produzione!AJ64*12</f>
        <v>0</v>
      </c>
      <c r="F45" s="738">
        <f>Produzione!AO64</f>
        <v>0</v>
      </c>
      <c r="G45" s="739"/>
      <c r="H45" s="732" t="str">
        <f>IF(B45="","",$O$28/(E45/(Produzione!AI64*12)))</f>
        <v/>
      </c>
      <c r="I45" s="733"/>
      <c r="J45" s="541" t="s">
        <v>446</v>
      </c>
      <c r="K45" s="554">
        <f>Produzione!B171</f>
        <v>0</v>
      </c>
      <c r="L45" s="259"/>
      <c r="M45" s="546">
        <f>FLOOR(Produzione!B174*(1-N45),0.5)</f>
        <v>0</v>
      </c>
      <c r="N45" s="634"/>
      <c r="O45"/>
      <c r="P45"/>
      <c r="Q45" s="478"/>
      <c r="R45" s="266">
        <f>Produzione!B174</f>
        <v>0</v>
      </c>
      <c r="S45" s="266"/>
      <c r="T45" s="597">
        <f>N46</f>
        <v>0</v>
      </c>
      <c r="U45" s="275">
        <f>M45</f>
        <v>0</v>
      </c>
      <c r="V45" s="730">
        <f>M47</f>
        <v>0</v>
      </c>
      <c r="W45" s="730"/>
      <c r="X45" s="117"/>
      <c r="Y45" s="117"/>
      <c r="Z45" s="117"/>
      <c r="AA45" s="117"/>
      <c r="AB45" s="117"/>
      <c r="AC45" s="571"/>
      <c r="AD45" s="571"/>
      <c r="AE45" s="117"/>
      <c r="AF45" s="117"/>
      <c r="AG45" s="117"/>
      <c r="AH45" s="117"/>
      <c r="AI45" s="117"/>
      <c r="AJ45" s="117"/>
      <c r="AK45" s="117"/>
      <c r="AL45" s="117"/>
      <c r="AM45" s="117"/>
    </row>
    <row r="46" spans="1:39" x14ac:dyDescent="0.15">
      <c r="A46" s="256">
        <v>2</v>
      </c>
      <c r="B46" s="84" t="str">
        <f>Produzione!AD65</f>
        <v/>
      </c>
      <c r="C46" s="565">
        <f>Produzione!AO65*12</f>
        <v>0</v>
      </c>
      <c r="D46" s="258">
        <f t="shared" si="13"/>
        <v>0</v>
      </c>
      <c r="E46" s="552">
        <f>Produzione!AJ65*12</f>
        <v>0</v>
      </c>
      <c r="F46" s="738">
        <f>Produzione!AO65</f>
        <v>0</v>
      </c>
      <c r="G46" s="739"/>
      <c r="H46" s="732" t="str">
        <f>IF(B46="","",$O$28/(E46/(Produzione!AI65*12)))</f>
        <v/>
      </c>
      <c r="I46" s="733"/>
      <c r="J46"/>
      <c r="K46" s="555" t="str">
        <f>"Pezzi  "&amp;Produzione!C171</f>
        <v xml:space="preserve">Pezzi  </v>
      </c>
      <c r="L46" s="259"/>
      <c r="M46" s="552" t="s">
        <v>452</v>
      </c>
      <c r="N46" s="635"/>
      <c r="O46"/>
      <c r="P46"/>
      <c r="Q46" s="551"/>
      <c r="R46" s="273">
        <f>IF(N46="",Produzione!C171,N46)</f>
        <v>0</v>
      </c>
      <c r="S46" s="273"/>
      <c r="T46" s="597">
        <f>N49</f>
        <v>0</v>
      </c>
      <c r="U46" s="275">
        <f>M48</f>
        <v>0</v>
      </c>
      <c r="V46" s="730">
        <f>M50</f>
        <v>0</v>
      </c>
      <c r="W46" s="730"/>
      <c r="X46" s="117"/>
      <c r="Y46" s="117"/>
      <c r="Z46" s="117"/>
      <c r="AA46" s="117"/>
      <c r="AB46" s="117"/>
      <c r="AC46" s="571"/>
      <c r="AD46" s="571"/>
      <c r="AE46" s="117"/>
      <c r="AF46" s="117"/>
      <c r="AG46" s="117"/>
      <c r="AH46" s="117"/>
      <c r="AI46" s="117"/>
      <c r="AJ46" s="117"/>
      <c r="AK46" s="117"/>
      <c r="AL46" s="117"/>
      <c r="AM46" s="117"/>
    </row>
    <row r="47" spans="1:39" ht="14" thickBot="1" x14ac:dyDescent="0.2">
      <c r="A47" s="256">
        <v>3</v>
      </c>
      <c r="B47" s="84" t="str">
        <f>Produzione!AD66</f>
        <v/>
      </c>
      <c r="C47" s="565">
        <f>Produzione!AO66*12</f>
        <v>0</v>
      </c>
      <c r="D47" s="258">
        <f t="shared" si="13"/>
        <v>0</v>
      </c>
      <c r="E47" s="552">
        <f>Produzione!AJ66*12</f>
        <v>0</v>
      </c>
      <c r="F47" s="738">
        <f>Produzione!AO66</f>
        <v>0</v>
      </c>
      <c r="G47" s="739"/>
      <c r="H47" s="732" t="str">
        <f>IF(B47="","",$O$28/(E47/(Produzione!AI66*12)))</f>
        <v/>
      </c>
      <c r="I47" s="733"/>
      <c r="J47"/>
      <c r="K47" s="557"/>
      <c r="L47" s="553" t="s">
        <v>451</v>
      </c>
      <c r="M47" s="728">
        <f>IF(N46="",M45,M45*N46)</f>
        <v>0</v>
      </c>
      <c r="N47" s="729"/>
      <c r="O47"/>
      <c r="P47"/>
      <c r="Q47" s="551"/>
      <c r="R47" s="120"/>
      <c r="S47" s="266">
        <f>(R45-M45)*R46</f>
        <v>0</v>
      </c>
      <c r="T47" s="597">
        <f>N52</f>
        <v>0</v>
      </c>
      <c r="U47" s="275">
        <f>M51</f>
        <v>0</v>
      </c>
      <c r="V47" s="730">
        <f>M53</f>
        <v>0</v>
      </c>
      <c r="W47" s="730"/>
      <c r="X47" s="117"/>
      <c r="Y47" s="117"/>
      <c r="Z47" s="117"/>
      <c r="AA47" s="117"/>
      <c r="AB47" s="117"/>
      <c r="AC47" s="571"/>
      <c r="AD47" s="571"/>
      <c r="AE47" s="117"/>
      <c r="AF47" s="117"/>
      <c r="AG47" s="117"/>
      <c r="AH47" s="117"/>
      <c r="AI47" s="117"/>
      <c r="AJ47" s="117"/>
      <c r="AK47" s="117"/>
      <c r="AL47" s="117"/>
      <c r="AM47" s="117"/>
    </row>
    <row r="48" spans="1:39" x14ac:dyDescent="0.15">
      <c r="A48" s="256">
        <v>4</v>
      </c>
      <c r="B48" s="84" t="str">
        <f>Produzione!AD67</f>
        <v/>
      </c>
      <c r="C48" s="565">
        <f>Produzione!AO67*12</f>
        <v>0</v>
      </c>
      <c r="D48" s="258">
        <f t="shared" si="13"/>
        <v>0</v>
      </c>
      <c r="E48" s="552">
        <f>Produzione!AJ67*12</f>
        <v>0</v>
      </c>
      <c r="F48" s="738">
        <f>Produzione!AO67</f>
        <v>0</v>
      </c>
      <c r="G48" s="739"/>
      <c r="H48" s="732" t="str">
        <f>IF(B48="","",$O$28/(E48/(Produzione!AI67*12)))</f>
        <v/>
      </c>
      <c r="I48" s="733"/>
      <c r="J48" s="541" t="s">
        <v>447</v>
      </c>
      <c r="K48" s="554">
        <f>Produzione!B176</f>
        <v>0</v>
      </c>
      <c r="L48" s="259"/>
      <c r="M48" s="548">
        <f>FLOOR(Produzione!B179*(1-N48),0.5)</f>
        <v>0</v>
      </c>
      <c r="N48" s="634"/>
      <c r="O48"/>
      <c r="P48"/>
      <c r="Q48" s="551"/>
      <c r="R48" s="266">
        <f>Produzione!B179</f>
        <v>0</v>
      </c>
      <c r="S48" s="266"/>
      <c r="T48" s="597">
        <f>N55</f>
        <v>0</v>
      </c>
      <c r="U48" s="275">
        <f>M54</f>
        <v>0</v>
      </c>
      <c r="V48" s="730">
        <f>M56</f>
        <v>0</v>
      </c>
      <c r="W48" s="730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</row>
    <row r="49" spans="1:39" x14ac:dyDescent="0.15">
      <c r="A49" s="256">
        <v>5</v>
      </c>
      <c r="B49" s="84" t="str">
        <f>Produzione!AD68</f>
        <v/>
      </c>
      <c r="C49" s="565">
        <f>Produzione!AO68*12</f>
        <v>0</v>
      </c>
      <c r="D49" s="258">
        <f t="shared" si="13"/>
        <v>0</v>
      </c>
      <c r="E49" s="552">
        <f>Produzione!AJ68*12</f>
        <v>0</v>
      </c>
      <c r="F49" s="738">
        <f>Produzione!AO68</f>
        <v>0</v>
      </c>
      <c r="G49" s="739"/>
      <c r="H49" s="732" t="str">
        <f>IF(B49="","",$O$28/(E49/(Produzione!AI68*12)))</f>
        <v/>
      </c>
      <c r="I49" s="733"/>
      <c r="J49"/>
      <c r="K49" s="556" t="str">
        <f>"Pezzi  "&amp;Produzione!C176</f>
        <v xml:space="preserve">Pezzi  </v>
      </c>
      <c r="L49" s="259"/>
      <c r="M49" s="552" t="s">
        <v>452</v>
      </c>
      <c r="N49" s="635"/>
      <c r="O49"/>
      <c r="P49"/>
      <c r="Q49" s="551"/>
      <c r="R49" s="273">
        <f>IF(N49="",Produzione!C176,N49)</f>
        <v>0</v>
      </c>
      <c r="S49" s="273"/>
      <c r="T49" s="598">
        <f>N58</f>
        <v>0</v>
      </c>
      <c r="U49" s="276">
        <f>M57</f>
        <v>0</v>
      </c>
      <c r="V49" s="734">
        <f>M59</f>
        <v>0</v>
      </c>
      <c r="W49" s="734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</row>
    <row r="50" spans="1:39" ht="14" thickBot="1" x14ac:dyDescent="0.2">
      <c r="A50" s="256">
        <v>6</v>
      </c>
      <c r="B50" s="84" t="str">
        <f>Produzione!AD69</f>
        <v/>
      </c>
      <c r="C50" s="565">
        <f>Produzione!AO69*12</f>
        <v>0</v>
      </c>
      <c r="D50" s="258">
        <f t="shared" si="13"/>
        <v>0</v>
      </c>
      <c r="E50" s="552">
        <f>Produzione!AJ69*12</f>
        <v>0</v>
      </c>
      <c r="F50" s="738">
        <f>Produzione!AO69</f>
        <v>0</v>
      </c>
      <c r="G50" s="739"/>
      <c r="H50" s="732" t="str">
        <f>IF(B50="","",$O$28/(E50/(Produzione!AI69*12)))</f>
        <v/>
      </c>
      <c r="I50" s="733"/>
      <c r="J50"/>
      <c r="K50" s="557"/>
      <c r="L50" s="553" t="s">
        <v>451</v>
      </c>
      <c r="M50" s="728">
        <f>IF(N49="",M48,M48*N49)</f>
        <v>0</v>
      </c>
      <c r="N50" s="729"/>
      <c r="O50"/>
      <c r="P50"/>
      <c r="Q50" s="551"/>
      <c r="R50" s="120"/>
      <c r="S50" s="266">
        <f>(R48-M48)*R49</f>
        <v>0</v>
      </c>
      <c r="T50" s="597">
        <f>SUM(T45:T49)</f>
        <v>0</v>
      </c>
      <c r="U50" s="275">
        <f>SUM(U45:U49)</f>
        <v>0</v>
      </c>
      <c r="V50" s="730">
        <f>SUM(V45:W49)</f>
        <v>0</v>
      </c>
      <c r="W50" s="735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</row>
    <row r="51" spans="1:39" x14ac:dyDescent="0.15">
      <c r="A51" s="256">
        <v>7</v>
      </c>
      <c r="B51" s="84" t="str">
        <f>Produzione!AD70</f>
        <v/>
      </c>
      <c r="C51" s="565">
        <f>Produzione!AO70*12</f>
        <v>0</v>
      </c>
      <c r="D51" s="258">
        <f t="shared" si="13"/>
        <v>0</v>
      </c>
      <c r="E51" s="552">
        <f>Produzione!AJ70*12</f>
        <v>0</v>
      </c>
      <c r="F51" s="738">
        <f>Produzione!AO70</f>
        <v>0</v>
      </c>
      <c r="G51" s="739"/>
      <c r="H51" s="732" t="str">
        <f>IF(B51="","",$O$28/(E51/(Produzione!AI70*12)))</f>
        <v/>
      </c>
      <c r="I51" s="733"/>
      <c r="J51" s="541" t="s">
        <v>448</v>
      </c>
      <c r="K51" s="554">
        <f>Produzione!B181</f>
        <v>0</v>
      </c>
      <c r="L51" s="259"/>
      <c r="M51" s="548">
        <f>FLOOR(Produzione!B184*(1-N51),0.5)</f>
        <v>0</v>
      </c>
      <c r="N51" s="634"/>
      <c r="O51"/>
      <c r="P51"/>
      <c r="Q51" s="551"/>
      <c r="R51" s="266">
        <f>Produzione!B184</f>
        <v>0</v>
      </c>
      <c r="S51" s="266"/>
      <c r="T51" s="597">
        <f>COUNTIF(T45:T49,0)</f>
        <v>5</v>
      </c>
      <c r="U51" s="561"/>
      <c r="V51" s="268"/>
      <c r="W51" s="268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</row>
    <row r="52" spans="1:39" x14ac:dyDescent="0.15">
      <c r="A52" s="256">
        <v>8</v>
      </c>
      <c r="B52" s="84" t="str">
        <f>Produzione!AD71</f>
        <v/>
      </c>
      <c r="C52" s="565">
        <f>Produzione!AO71*12</f>
        <v>0</v>
      </c>
      <c r="D52" s="258">
        <f t="shared" si="13"/>
        <v>0</v>
      </c>
      <c r="E52" s="552">
        <f>Produzione!AJ71*12</f>
        <v>0</v>
      </c>
      <c r="F52" s="738">
        <f>Produzione!AO71</f>
        <v>0</v>
      </c>
      <c r="G52" s="739"/>
      <c r="H52" s="732" t="str">
        <f>IF(B52="","",$O$28/(E52/(Produzione!AI71*12)))</f>
        <v/>
      </c>
      <c r="I52" s="733"/>
      <c r="J52"/>
      <c r="K52" s="556" t="str">
        <f>"Pezzi  "&amp;Produzione!C181</f>
        <v xml:space="preserve">Pezzi  </v>
      </c>
      <c r="L52" s="259"/>
      <c r="M52" s="552" t="s">
        <v>452</v>
      </c>
      <c r="N52" s="635"/>
      <c r="O52"/>
      <c r="P52"/>
      <c r="Q52" s="551"/>
      <c r="R52" s="273">
        <f>IF(N52="",Produzione!C181,N52)</f>
        <v>0</v>
      </c>
      <c r="S52" s="273"/>
      <c r="T52" s="599">
        <f>IF(T50=0,0,IF(T$51=0,IF(T50=0,0,T50/5),T50/(5-T$51)))</f>
        <v>0</v>
      </c>
      <c r="U52" s="599">
        <f>IF(U$51=0,IF(U50=0,0,U50/5),U50/(5-U$51))</f>
        <v>0</v>
      </c>
      <c r="V52" s="731">
        <f>IF(V$51=0,IF(V50=0,0,V50/5),V50/(5-V$51))</f>
        <v>0</v>
      </c>
      <c r="W52" s="731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</row>
    <row r="53" spans="1:39" ht="14" thickBot="1" x14ac:dyDescent="0.2">
      <c r="A53" s="256">
        <v>9</v>
      </c>
      <c r="B53" s="84" t="str">
        <f>Produzione!AD72</f>
        <v/>
      </c>
      <c r="C53" s="565">
        <f>Produzione!AO72*12</f>
        <v>0</v>
      </c>
      <c r="D53" s="258">
        <f t="shared" si="13"/>
        <v>0</v>
      </c>
      <c r="E53" s="552">
        <f>Produzione!AJ72*12</f>
        <v>0</v>
      </c>
      <c r="F53" s="738">
        <f>Produzione!AO72</f>
        <v>0</v>
      </c>
      <c r="G53" s="739"/>
      <c r="H53" s="732" t="str">
        <f>IF(B53="","",$O$28/(E53/(Produzione!AI72*12)))</f>
        <v/>
      </c>
      <c r="I53" s="733"/>
      <c r="J53"/>
      <c r="K53" s="557"/>
      <c r="L53" s="553" t="s">
        <v>451</v>
      </c>
      <c r="M53" s="728">
        <f>IF(N52="",M51,M51*N52)</f>
        <v>0</v>
      </c>
      <c r="N53" s="729"/>
      <c r="O53"/>
      <c r="P53"/>
      <c r="Q53" s="551"/>
      <c r="R53" s="120"/>
      <c r="S53" s="266">
        <f>(R51-M51)*R52</f>
        <v>0</v>
      </c>
      <c r="T53" s="597"/>
      <c r="U53" s="561"/>
      <c r="V53" s="268"/>
      <c r="W53" s="268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</row>
    <row r="54" spans="1:39" x14ac:dyDescent="0.15">
      <c r="A54" s="256">
        <v>10</v>
      </c>
      <c r="B54" s="84" t="str">
        <f>Produzione!AD73</f>
        <v/>
      </c>
      <c r="C54" s="565">
        <f>Produzione!AO73*12</f>
        <v>0</v>
      </c>
      <c r="D54" s="258">
        <f t="shared" si="13"/>
        <v>0</v>
      </c>
      <c r="E54" s="552">
        <f>Produzione!AJ73*12</f>
        <v>0</v>
      </c>
      <c r="F54" s="738">
        <f>Produzione!AO73</f>
        <v>0</v>
      </c>
      <c r="G54" s="739"/>
      <c r="H54" s="732" t="str">
        <f>IF(B54="","",$O$28/(E54/(Produzione!AI73*12)))</f>
        <v/>
      </c>
      <c r="I54" s="733"/>
      <c r="J54" s="541" t="s">
        <v>449</v>
      </c>
      <c r="K54" s="554">
        <f>Produzione!B186</f>
        <v>0</v>
      </c>
      <c r="L54" s="259"/>
      <c r="M54" s="547">
        <f>FLOOR(Produzione!B189*(1-N54),0.5)</f>
        <v>0</v>
      </c>
      <c r="N54" s="634"/>
      <c r="Q54" s="116"/>
      <c r="R54" s="266">
        <f>Produzione!B189</f>
        <v>0</v>
      </c>
      <c r="S54" s="266"/>
      <c r="T54" s="597"/>
      <c r="U54" s="561"/>
      <c r="V54" s="268"/>
      <c r="W54" s="268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</row>
    <row r="55" spans="1:39" x14ac:dyDescent="0.15">
      <c r="A55" s="256">
        <v>11</v>
      </c>
      <c r="B55" s="84" t="str">
        <f>Produzione!AD74</f>
        <v/>
      </c>
      <c r="C55" s="565">
        <f>Produzione!AO74*12</f>
        <v>0</v>
      </c>
      <c r="D55" s="258">
        <f t="shared" si="13"/>
        <v>0</v>
      </c>
      <c r="E55" s="552">
        <f>Produzione!AJ74*12</f>
        <v>0</v>
      </c>
      <c r="F55" s="738">
        <f>Produzione!AO74</f>
        <v>0</v>
      </c>
      <c r="G55" s="739"/>
      <c r="H55" s="732" t="str">
        <f>IF(B55="","",$O$28/(E55/(Produzione!AI74*12)))</f>
        <v/>
      </c>
      <c r="I55" s="733"/>
      <c r="J55"/>
      <c r="K55" s="556" t="str">
        <f>"Pezzi  "&amp;Produzione!C186</f>
        <v xml:space="preserve">Pezzi  </v>
      </c>
      <c r="L55" s="259"/>
      <c r="M55" s="552" t="s">
        <v>452</v>
      </c>
      <c r="N55" s="635"/>
      <c r="Q55" s="116"/>
      <c r="R55" s="273">
        <f>IF(N55="",Produzione!C186,N55)</f>
        <v>0</v>
      </c>
      <c r="S55" s="120"/>
      <c r="T55" s="597"/>
      <c r="U55" s="561"/>
      <c r="V55" s="268"/>
      <c r="W55" s="268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</row>
    <row r="56" spans="1:39" ht="14" thickBot="1" x14ac:dyDescent="0.2">
      <c r="A56" s="256">
        <v>12</v>
      </c>
      <c r="B56" s="84" t="str">
        <f>Produzione!AD75</f>
        <v/>
      </c>
      <c r="C56" s="565">
        <f>Produzione!AO75*12</f>
        <v>0</v>
      </c>
      <c r="D56" s="258">
        <f t="shared" si="13"/>
        <v>0</v>
      </c>
      <c r="E56" s="552">
        <f>Produzione!AJ75*12</f>
        <v>0</v>
      </c>
      <c r="F56" s="738">
        <f>Produzione!AO75</f>
        <v>0</v>
      </c>
      <c r="G56" s="739"/>
      <c r="H56" s="732" t="str">
        <f>IF(B56="","",$O$28/(E56/(Produzione!AI75*12)))</f>
        <v/>
      </c>
      <c r="I56" s="733"/>
      <c r="J56"/>
      <c r="K56" s="557"/>
      <c r="L56" s="553" t="s">
        <v>451</v>
      </c>
      <c r="M56" s="728">
        <f>IF(N55="",M54,M54*N55)</f>
        <v>0</v>
      </c>
      <c r="N56" s="729"/>
      <c r="Q56" s="116"/>
      <c r="R56" s="120"/>
      <c r="S56" s="266">
        <f>(R54-M54)*R55</f>
        <v>0</v>
      </c>
      <c r="T56" s="597"/>
      <c r="U56" s="561"/>
      <c r="V56" s="268"/>
      <c r="W56" s="268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</row>
    <row r="57" spans="1:39" x14ac:dyDescent="0.15">
      <c r="A57" s="256">
        <v>13</v>
      </c>
      <c r="B57" s="84" t="str">
        <f>Produzione!AD76</f>
        <v/>
      </c>
      <c r="C57" s="565">
        <f>Produzione!AO76*12</f>
        <v>0</v>
      </c>
      <c r="D57" s="258">
        <f t="shared" si="13"/>
        <v>0</v>
      </c>
      <c r="E57" s="552">
        <f>Produzione!AJ76*12</f>
        <v>0</v>
      </c>
      <c r="F57" s="738">
        <f>Produzione!AO76</f>
        <v>0</v>
      </c>
      <c r="G57" s="739"/>
      <c r="H57" s="732" t="str">
        <f>IF(B57="","",$O$28/(E57/(Produzione!AI76*12)))</f>
        <v/>
      </c>
      <c r="I57" s="733"/>
      <c r="J57" s="36" t="s">
        <v>450</v>
      </c>
      <c r="K57" s="554">
        <f>Produzione!B191</f>
        <v>0</v>
      </c>
      <c r="L57" s="259"/>
      <c r="M57" s="547">
        <f>FLOOR(Produzione!B194*(1-N57),0.5)</f>
        <v>0</v>
      </c>
      <c r="N57" s="634"/>
      <c r="Q57" s="116"/>
      <c r="R57" s="266">
        <f>Produzione!B194</f>
        <v>0</v>
      </c>
      <c r="S57" s="266"/>
      <c r="T57" s="597"/>
      <c r="U57" s="561"/>
      <c r="V57" s="268"/>
      <c r="W57" s="268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</row>
    <row r="58" spans="1:39" x14ac:dyDescent="0.15">
      <c r="A58" s="256">
        <v>14</v>
      </c>
      <c r="B58" s="84" t="str">
        <f>Produzione!AD77</f>
        <v/>
      </c>
      <c r="C58" s="565">
        <f>Produzione!AO77*12</f>
        <v>0</v>
      </c>
      <c r="D58" s="258">
        <f t="shared" si="13"/>
        <v>0</v>
      </c>
      <c r="E58" s="552">
        <f>Produzione!AJ77*12</f>
        <v>0</v>
      </c>
      <c r="F58" s="738">
        <f>Produzione!AO77</f>
        <v>0</v>
      </c>
      <c r="G58" s="739"/>
      <c r="H58" s="732" t="str">
        <f>IF(B58="","",$O$28/(E58/(Produzione!AI77*12)))</f>
        <v/>
      </c>
      <c r="I58" s="733"/>
      <c r="K58" s="556" t="str">
        <f>"Pezzi  "&amp;Produzione!C191</f>
        <v xml:space="preserve">Pezzi  </v>
      </c>
      <c r="L58" s="259"/>
      <c r="M58" s="552" t="s">
        <v>452</v>
      </c>
      <c r="N58" s="635"/>
      <c r="Q58" s="116"/>
      <c r="R58" s="273">
        <f>IF(N58="",Produzione!C191,N58)</f>
        <v>0</v>
      </c>
      <c r="S58" s="120"/>
      <c r="T58" s="597"/>
      <c r="U58" s="561"/>
      <c r="V58" s="268"/>
      <c r="W58" s="268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</row>
    <row r="59" spans="1:39" ht="14" thickBot="1" x14ac:dyDescent="0.2">
      <c r="A59" s="260">
        <v>15</v>
      </c>
      <c r="B59" s="86" t="str">
        <f>Produzione!AD78</f>
        <v/>
      </c>
      <c r="C59" s="566">
        <f>Produzione!AO78*12</f>
        <v>0</v>
      </c>
      <c r="D59" s="567">
        <f t="shared" si="13"/>
        <v>0</v>
      </c>
      <c r="E59" s="553">
        <f>Produzione!AJ78*12</f>
        <v>0</v>
      </c>
      <c r="F59" s="742">
        <f>Produzione!AO78</f>
        <v>0</v>
      </c>
      <c r="G59" s="743"/>
      <c r="H59" s="744" t="str">
        <f>IF(B59="","",$O$28/(E59/(Produzione!AI78*12)))</f>
        <v/>
      </c>
      <c r="I59" s="745"/>
      <c r="K59" s="557"/>
      <c r="L59" s="558" t="s">
        <v>451</v>
      </c>
      <c r="M59" s="728">
        <f>IF(N58="",M57,M57*N58)</f>
        <v>0</v>
      </c>
      <c r="N59" s="729"/>
      <c r="Q59" s="116"/>
      <c r="R59" s="120"/>
      <c r="S59" s="266">
        <f>(R57-M57)*R58</f>
        <v>0</v>
      </c>
      <c r="T59" s="597"/>
      <c r="U59" s="268"/>
      <c r="V59" s="268"/>
      <c r="W59" s="268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</row>
    <row r="60" spans="1:39" ht="14" thickBot="1" x14ac:dyDescent="0.2">
      <c r="C60" s="568">
        <f>SUM(C45:C59)</f>
        <v>0</v>
      </c>
      <c r="D60" s="569"/>
      <c r="E60" s="570"/>
      <c r="Q60" s="116"/>
      <c r="R60" s="120"/>
      <c r="S60" s="266">
        <f>SUM(S47:S59)</f>
        <v>0</v>
      </c>
      <c r="T60" s="597"/>
      <c r="U60" s="268"/>
      <c r="V60" s="268"/>
      <c r="W60" s="268"/>
      <c r="X60" s="117"/>
      <c r="Y60" s="572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</row>
    <row r="61" spans="1:39" ht="7.5" customHeight="1" thickTop="1" x14ac:dyDescent="0.15">
      <c r="D61"/>
      <c r="E61"/>
      <c r="Q61" s="116"/>
      <c r="U61" s="117"/>
      <c r="V61" s="117"/>
      <c r="W61" s="117"/>
      <c r="X61" s="117"/>
      <c r="Y61" s="572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</row>
    <row r="62" spans="1:39" ht="20" x14ac:dyDescent="0.2">
      <c r="A62" s="76" t="s">
        <v>267</v>
      </c>
      <c r="B62" s="76"/>
      <c r="C62"/>
      <c r="L62" s="583"/>
      <c r="M62" s="583"/>
      <c r="N62" s="583"/>
      <c r="O62" s="583"/>
      <c r="P62" s="583"/>
      <c r="U62" s="117"/>
      <c r="V62" s="117"/>
      <c r="W62" s="117"/>
      <c r="X62" s="117"/>
      <c r="Y62" s="572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</row>
    <row r="63" spans="1:39" ht="12" customHeight="1" thickBot="1" x14ac:dyDescent="0.25">
      <c r="K63" s="45" t="s">
        <v>479</v>
      </c>
      <c r="L63" s="583"/>
      <c r="M63" s="583"/>
      <c r="N63" s="583"/>
      <c r="O63" s="583"/>
      <c r="P63" s="583"/>
      <c r="R63" s="120"/>
      <c r="S63" s="120"/>
      <c r="T63" s="120"/>
      <c r="U63" s="117"/>
      <c r="V63" s="117"/>
      <c r="W63" s="117"/>
      <c r="X63" s="117"/>
      <c r="Y63" s="572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</row>
    <row r="64" spans="1:39" ht="14" thickBot="1" x14ac:dyDescent="0.2">
      <c r="A64" s="588"/>
      <c r="B64" s="106"/>
      <c r="C64" s="589" t="s">
        <v>268</v>
      </c>
      <c r="D64" s="586"/>
      <c r="E64" s="586"/>
      <c r="F64" s="587"/>
      <c r="G64" s="587"/>
      <c r="H64" s="587" t="s">
        <v>465</v>
      </c>
      <c r="I64" s="587"/>
      <c r="J64" s="587"/>
      <c r="K64" s="641">
        <v>20</v>
      </c>
      <c r="L64" s="117"/>
      <c r="M64" s="117"/>
      <c r="O64" s="584"/>
      <c r="P64" s="584"/>
      <c r="R64" s="120" t="s">
        <v>480</v>
      </c>
      <c r="S64" s="120" t="s">
        <v>481</v>
      </c>
      <c r="T64" s="120" t="s">
        <v>191</v>
      </c>
      <c r="U64" s="117"/>
      <c r="V64" s="117"/>
      <c r="W64" s="117"/>
      <c r="X64" s="480"/>
      <c r="Y64" s="572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</row>
    <row r="65" spans="1:39" ht="14" thickBot="1" x14ac:dyDescent="0.2">
      <c r="A65" s="109"/>
      <c r="B65" s="31" t="s">
        <v>463</v>
      </c>
      <c r="C65" s="43" t="s">
        <v>464</v>
      </c>
      <c r="D65" s="43" t="s">
        <v>270</v>
      </c>
      <c r="E65" s="33" t="s">
        <v>271</v>
      </c>
      <c r="F65" s="740" t="s">
        <v>272</v>
      </c>
      <c r="G65" s="752"/>
      <c r="H65" s="43" t="s">
        <v>206</v>
      </c>
      <c r="I65" s="740" t="s">
        <v>466</v>
      </c>
      <c r="J65" s="741"/>
      <c r="K65" s="624">
        <f>ROUND((K64*(100/60))*0.01,2)</f>
        <v>0.33</v>
      </c>
      <c r="L65" s="324"/>
      <c r="M65" s="324"/>
      <c r="N65" s="324"/>
      <c r="O65" s="324"/>
      <c r="P65" s="369"/>
      <c r="R65" s="120">
        <f>(K64*(100/60))*0.01</f>
        <v>0.33333333333333337</v>
      </c>
      <c r="S65" s="120"/>
      <c r="T65" s="120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</row>
    <row r="66" spans="1:39" x14ac:dyDescent="0.15">
      <c r="A66" s="580">
        <v>1</v>
      </c>
      <c r="B66" s="516" t="str">
        <f>B4</f>
        <v/>
      </c>
      <c r="C66" s="563" t="str">
        <f t="shared" ref="C66:C80" si="14">IF(B66="","",TEXT(I4,"#")&amp;" / "&amp;TEXT(N4,"#"))</f>
        <v/>
      </c>
      <c r="D66" s="577" t="str">
        <f>N4</f>
        <v/>
      </c>
      <c r="E66" s="636">
        <v>3</v>
      </c>
      <c r="F66" s="746" t="str">
        <f>IF(B66="","",INT(D66/E66))</f>
        <v/>
      </c>
      <c r="G66" s="747"/>
      <c r="H66" s="638">
        <v>0.03</v>
      </c>
      <c r="I66" s="439" t="str">
        <f>IF(B66="","",INT(J66/$N$28))</f>
        <v/>
      </c>
      <c r="J66" s="103" t="str">
        <f>IF(B66="","",INT(F66/H66))</f>
        <v/>
      </c>
      <c r="K66" s="108" t="str">
        <f>IF(B66="","",T66&amp;S66&amp;"  Minuti")</f>
        <v/>
      </c>
      <c r="L66" s="324"/>
      <c r="M66" s="579"/>
      <c r="N66" s="444"/>
      <c r="O66" s="444"/>
      <c r="P66" s="585"/>
      <c r="R66" s="120" t="str">
        <f>IF(I66="","",I66*R$65)</f>
        <v/>
      </c>
      <c r="S66" s="621" t="str">
        <f>IF(B66="","",TEXT((R66-INT(R66))*60,"#"))</f>
        <v/>
      </c>
      <c r="T66" s="120" t="str">
        <f>IF(B66="","",IF(INT(R66)=0,"",INT(R66)&amp;" h "))</f>
        <v/>
      </c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</row>
    <row r="67" spans="1:39" x14ac:dyDescent="0.15">
      <c r="A67" s="580">
        <v>2</v>
      </c>
      <c r="B67" s="516" t="str">
        <f t="shared" ref="B67:B80" si="15">B5</f>
        <v/>
      </c>
      <c r="C67" s="563" t="str">
        <f t="shared" si="14"/>
        <v/>
      </c>
      <c r="D67" s="103" t="str">
        <f>N5</f>
        <v/>
      </c>
      <c r="E67" s="636">
        <v>10</v>
      </c>
      <c r="F67" s="746" t="str">
        <f>IF(B67="","",INT(D67/E67))</f>
        <v/>
      </c>
      <c r="G67" s="747"/>
      <c r="H67" s="639">
        <v>0.8</v>
      </c>
      <c r="I67" s="439" t="str">
        <f>IF(B67="","",INT(J67/$N$28))</f>
        <v/>
      </c>
      <c r="J67" s="103" t="str">
        <f>IF(B67="","",INT(F67/H67))</f>
        <v/>
      </c>
      <c r="K67" s="108" t="str">
        <f t="shared" ref="K67:K80" si="16">IF(B67="","",T67&amp;S67&amp;"  Minuti")</f>
        <v/>
      </c>
      <c r="L67" s="324"/>
      <c r="M67" s="579"/>
      <c r="N67" s="620"/>
      <c r="O67" s="444"/>
      <c r="P67" s="585"/>
      <c r="R67" s="120" t="str">
        <f t="shared" ref="R67:R81" si="17">IF(I67="","",I67*R$65)</f>
        <v/>
      </c>
      <c r="S67" s="621" t="str">
        <f t="shared" ref="S67:S80" si="18">IF(B67="","",TEXT((R67-INT(R67))*60,"#"))</f>
        <v/>
      </c>
      <c r="T67" s="120" t="str">
        <f t="shared" ref="T67:T80" si="19">IF(B67="","",IF(INT(R67)=0,"",INT(R67)&amp;" h "))</f>
        <v/>
      </c>
      <c r="U67" s="571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</row>
    <row r="68" spans="1:39" x14ac:dyDescent="0.15">
      <c r="A68" s="580">
        <v>3</v>
      </c>
      <c r="B68" s="516" t="str">
        <f t="shared" si="15"/>
        <v/>
      </c>
      <c r="C68" s="563" t="str">
        <f t="shared" si="14"/>
        <v/>
      </c>
      <c r="D68" s="103" t="str">
        <f t="shared" ref="D68:D80" si="20">N6</f>
        <v/>
      </c>
      <c r="E68" s="636">
        <v>3</v>
      </c>
      <c r="F68" s="746" t="str">
        <f>IF(B68="","",INT(D68/E68))</f>
        <v/>
      </c>
      <c r="G68" s="747"/>
      <c r="H68" s="639">
        <v>0.03</v>
      </c>
      <c r="I68" s="439" t="str">
        <f>IF(B68="","",INT(J68/$N$28))</f>
        <v/>
      </c>
      <c r="J68" s="103" t="str">
        <f>IF(B68="","",INT(F68/H68))</f>
        <v/>
      </c>
      <c r="K68" s="108" t="str">
        <f t="shared" si="16"/>
        <v/>
      </c>
      <c r="L68" s="324"/>
      <c r="M68" s="579"/>
      <c r="N68" s="444"/>
      <c r="O68" s="444"/>
      <c r="P68" s="585"/>
      <c r="R68" s="120" t="str">
        <f t="shared" si="17"/>
        <v/>
      </c>
      <c r="S68" s="621" t="str">
        <f t="shared" si="18"/>
        <v/>
      </c>
      <c r="T68" s="120" t="str">
        <f t="shared" si="19"/>
        <v/>
      </c>
      <c r="U68" s="571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</row>
    <row r="69" spans="1:39" x14ac:dyDescent="0.15">
      <c r="A69" s="580">
        <v>4</v>
      </c>
      <c r="B69" s="516" t="str">
        <f t="shared" si="15"/>
        <v/>
      </c>
      <c r="C69" s="563" t="str">
        <f t="shared" si="14"/>
        <v/>
      </c>
      <c r="D69" s="103" t="str">
        <f t="shared" si="20"/>
        <v/>
      </c>
      <c r="E69" s="636">
        <v>3</v>
      </c>
      <c r="F69" s="746" t="str">
        <f>IF(B69="","",INT(D69/E69))</f>
        <v/>
      </c>
      <c r="G69" s="747"/>
      <c r="H69" s="639">
        <v>0.03</v>
      </c>
      <c r="I69" s="439" t="str">
        <f>IF(B69="","",INT(J69/$N$28))</f>
        <v/>
      </c>
      <c r="J69" s="103" t="str">
        <f>IF(B69="","",INT(F69/H69))</f>
        <v/>
      </c>
      <c r="K69" s="108" t="str">
        <f t="shared" si="16"/>
        <v/>
      </c>
      <c r="L69" s="324"/>
      <c r="M69" s="579"/>
      <c r="N69" s="444"/>
      <c r="O69" s="444"/>
      <c r="P69" s="585"/>
      <c r="R69" s="120" t="str">
        <f t="shared" si="17"/>
        <v/>
      </c>
      <c r="S69" s="621" t="str">
        <f t="shared" si="18"/>
        <v/>
      </c>
      <c r="T69" s="120" t="str">
        <f t="shared" si="19"/>
        <v/>
      </c>
      <c r="U69" s="574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</row>
    <row r="70" spans="1:39" x14ac:dyDescent="0.15">
      <c r="A70" s="580">
        <v>5</v>
      </c>
      <c r="B70" s="516" t="str">
        <f t="shared" si="15"/>
        <v/>
      </c>
      <c r="C70" s="563" t="str">
        <f t="shared" si="14"/>
        <v/>
      </c>
      <c r="D70" s="103" t="str">
        <f t="shared" si="20"/>
        <v/>
      </c>
      <c r="E70" s="636">
        <v>5</v>
      </c>
      <c r="F70" s="746" t="str">
        <f>IF(B70="","",INT(D70/E70))</f>
        <v/>
      </c>
      <c r="G70" s="747"/>
      <c r="H70" s="639">
        <v>0.06</v>
      </c>
      <c r="I70" s="439" t="str">
        <f>IF(B70="","",INT(J70/$N$28))</f>
        <v/>
      </c>
      <c r="J70" s="103" t="str">
        <f>IF(B70="","",INT(F70/H70))</f>
        <v/>
      </c>
      <c r="K70" s="108" t="str">
        <f t="shared" si="16"/>
        <v/>
      </c>
      <c r="L70" s="324"/>
      <c r="M70" s="579"/>
      <c r="N70" s="444"/>
      <c r="O70" s="444"/>
      <c r="P70" s="585"/>
      <c r="R70" s="120" t="str">
        <f t="shared" si="17"/>
        <v/>
      </c>
      <c r="S70" s="621" t="str">
        <f t="shared" si="18"/>
        <v/>
      </c>
      <c r="T70" s="120" t="str">
        <f t="shared" si="19"/>
        <v/>
      </c>
      <c r="U70" s="571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</row>
    <row r="71" spans="1:39" x14ac:dyDescent="0.15">
      <c r="A71" s="580">
        <v>6</v>
      </c>
      <c r="B71" s="516" t="str">
        <f t="shared" si="15"/>
        <v/>
      </c>
      <c r="C71" s="563" t="str">
        <f t="shared" si="14"/>
        <v/>
      </c>
      <c r="D71" s="103" t="str">
        <f t="shared" si="20"/>
        <v/>
      </c>
      <c r="E71" s="636">
        <v>4</v>
      </c>
      <c r="F71" s="746" t="str">
        <f t="shared" ref="F71:F80" si="21">IF(B71="","",INT(D71/E71))</f>
        <v/>
      </c>
      <c r="G71" s="747"/>
      <c r="H71" s="639">
        <v>7.0000000000000007E-2</v>
      </c>
      <c r="I71" s="439" t="str">
        <f t="shared" ref="I71:I80" si="22">IF(B71="","",INT(J71/$N$28))</f>
        <v/>
      </c>
      <c r="J71" s="103" t="str">
        <f t="shared" ref="J71:J80" si="23">IF(B71="","",INT(F71/H71))</f>
        <v/>
      </c>
      <c r="K71" s="108" t="str">
        <f t="shared" si="16"/>
        <v/>
      </c>
      <c r="L71" s="324"/>
      <c r="M71" s="579"/>
      <c r="N71" s="444"/>
      <c r="O71" s="444"/>
      <c r="P71" s="585"/>
      <c r="R71" s="120" t="str">
        <f t="shared" si="17"/>
        <v/>
      </c>
      <c r="S71" s="621" t="str">
        <f t="shared" si="18"/>
        <v/>
      </c>
      <c r="T71" s="120" t="str">
        <f t="shared" si="19"/>
        <v/>
      </c>
      <c r="U71" s="571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</row>
    <row r="72" spans="1:39" x14ac:dyDescent="0.15">
      <c r="A72" s="580">
        <v>7</v>
      </c>
      <c r="B72" s="516" t="str">
        <f t="shared" si="15"/>
        <v/>
      </c>
      <c r="C72" s="563" t="str">
        <f t="shared" si="14"/>
        <v/>
      </c>
      <c r="D72" s="103" t="str">
        <f t="shared" si="20"/>
        <v/>
      </c>
      <c r="E72" s="636"/>
      <c r="F72" s="746" t="str">
        <f t="shared" si="21"/>
        <v/>
      </c>
      <c r="G72" s="747"/>
      <c r="H72" s="639"/>
      <c r="I72" s="439" t="str">
        <f t="shared" si="22"/>
        <v/>
      </c>
      <c r="J72" s="103" t="str">
        <f t="shared" si="23"/>
        <v/>
      </c>
      <c r="K72" s="108" t="str">
        <f t="shared" si="16"/>
        <v/>
      </c>
      <c r="L72" s="324"/>
      <c r="M72" s="579"/>
      <c r="N72" s="444"/>
      <c r="O72" s="444"/>
      <c r="P72" s="585"/>
      <c r="R72" s="120" t="str">
        <f t="shared" si="17"/>
        <v/>
      </c>
      <c r="S72" s="621" t="str">
        <f t="shared" si="18"/>
        <v/>
      </c>
      <c r="T72" s="120" t="str">
        <f t="shared" si="19"/>
        <v/>
      </c>
      <c r="U72" s="575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</row>
    <row r="73" spans="1:39" x14ac:dyDescent="0.15">
      <c r="A73" s="580">
        <v>8</v>
      </c>
      <c r="B73" s="516" t="str">
        <f t="shared" si="15"/>
        <v/>
      </c>
      <c r="C73" s="563" t="str">
        <f t="shared" si="14"/>
        <v/>
      </c>
      <c r="D73" s="103" t="str">
        <f t="shared" si="20"/>
        <v/>
      </c>
      <c r="E73" s="636"/>
      <c r="F73" s="746" t="str">
        <f t="shared" si="21"/>
        <v/>
      </c>
      <c r="G73" s="747"/>
      <c r="H73" s="639"/>
      <c r="I73" s="439" t="str">
        <f t="shared" si="22"/>
        <v/>
      </c>
      <c r="J73" s="103" t="str">
        <f t="shared" si="23"/>
        <v/>
      </c>
      <c r="K73" s="108" t="str">
        <f t="shared" si="16"/>
        <v/>
      </c>
      <c r="L73" s="324"/>
      <c r="M73" s="579"/>
      <c r="N73" s="444"/>
      <c r="O73" s="444"/>
      <c r="P73" s="585"/>
      <c r="R73" s="120" t="str">
        <f t="shared" si="17"/>
        <v/>
      </c>
      <c r="S73" s="621" t="str">
        <f t="shared" si="18"/>
        <v/>
      </c>
      <c r="T73" s="120" t="str">
        <f t="shared" si="19"/>
        <v/>
      </c>
      <c r="U73" s="571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</row>
    <row r="74" spans="1:39" x14ac:dyDescent="0.15">
      <c r="A74" s="580">
        <v>9</v>
      </c>
      <c r="B74" s="516" t="str">
        <f t="shared" si="15"/>
        <v/>
      </c>
      <c r="C74" s="563" t="str">
        <f t="shared" si="14"/>
        <v/>
      </c>
      <c r="D74" s="103" t="str">
        <f t="shared" si="20"/>
        <v/>
      </c>
      <c r="E74" s="636"/>
      <c r="F74" s="746" t="str">
        <f t="shared" si="21"/>
        <v/>
      </c>
      <c r="G74" s="747"/>
      <c r="H74" s="639"/>
      <c r="I74" s="439" t="str">
        <f t="shared" si="22"/>
        <v/>
      </c>
      <c r="J74" s="103" t="str">
        <f t="shared" si="23"/>
        <v/>
      </c>
      <c r="K74" s="108" t="str">
        <f t="shared" si="16"/>
        <v/>
      </c>
      <c r="L74" s="324"/>
      <c r="M74" s="579"/>
      <c r="N74" s="444"/>
      <c r="O74" s="444"/>
      <c r="P74" s="585"/>
      <c r="R74" s="120" t="str">
        <f t="shared" si="17"/>
        <v/>
      </c>
      <c r="S74" s="621" t="str">
        <f t="shared" si="18"/>
        <v/>
      </c>
      <c r="T74" s="120" t="str">
        <f t="shared" si="19"/>
        <v/>
      </c>
      <c r="U74" s="571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</row>
    <row r="75" spans="1:39" x14ac:dyDescent="0.15">
      <c r="A75" s="580">
        <v>10</v>
      </c>
      <c r="B75" s="516" t="str">
        <f t="shared" si="15"/>
        <v/>
      </c>
      <c r="C75" s="563" t="str">
        <f t="shared" si="14"/>
        <v/>
      </c>
      <c r="D75" s="103" t="str">
        <f t="shared" si="20"/>
        <v/>
      </c>
      <c r="E75" s="636"/>
      <c r="F75" s="746" t="str">
        <f t="shared" si="21"/>
        <v/>
      </c>
      <c r="G75" s="747"/>
      <c r="H75" s="639"/>
      <c r="I75" s="439" t="str">
        <f t="shared" si="22"/>
        <v/>
      </c>
      <c r="J75" s="103" t="str">
        <f t="shared" si="23"/>
        <v/>
      </c>
      <c r="K75" s="108" t="str">
        <f t="shared" si="16"/>
        <v/>
      </c>
      <c r="L75" s="324"/>
      <c r="M75" s="579"/>
      <c r="N75" s="444"/>
      <c r="O75" s="444"/>
      <c r="P75" s="585"/>
      <c r="R75" s="120" t="str">
        <f t="shared" si="17"/>
        <v/>
      </c>
      <c r="S75" s="621" t="str">
        <f t="shared" si="18"/>
        <v/>
      </c>
      <c r="T75" s="120" t="str">
        <f t="shared" si="19"/>
        <v/>
      </c>
      <c r="U75" s="575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</row>
    <row r="76" spans="1:39" x14ac:dyDescent="0.15">
      <c r="A76" s="580">
        <v>11</v>
      </c>
      <c r="B76" s="516" t="str">
        <f t="shared" si="15"/>
        <v/>
      </c>
      <c r="C76" s="563" t="str">
        <f t="shared" si="14"/>
        <v/>
      </c>
      <c r="D76" s="103" t="str">
        <f t="shared" si="20"/>
        <v/>
      </c>
      <c r="E76" s="636"/>
      <c r="F76" s="746" t="str">
        <f t="shared" si="21"/>
        <v/>
      </c>
      <c r="G76" s="747"/>
      <c r="H76" s="639"/>
      <c r="I76" s="439" t="str">
        <f t="shared" si="22"/>
        <v/>
      </c>
      <c r="J76" s="103" t="str">
        <f t="shared" si="23"/>
        <v/>
      </c>
      <c r="K76" s="108" t="str">
        <f t="shared" si="16"/>
        <v/>
      </c>
      <c r="L76" s="324"/>
      <c r="M76" s="579"/>
      <c r="N76" s="444"/>
      <c r="O76" s="444"/>
      <c r="P76" s="585"/>
      <c r="R76" s="120" t="str">
        <f t="shared" si="17"/>
        <v/>
      </c>
      <c r="S76" s="621" t="str">
        <f t="shared" si="18"/>
        <v/>
      </c>
      <c r="T76" s="120" t="str">
        <f t="shared" si="19"/>
        <v/>
      </c>
      <c r="U76" s="571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</row>
    <row r="77" spans="1:39" x14ac:dyDescent="0.15">
      <c r="A77" s="580">
        <v>12</v>
      </c>
      <c r="B77" s="516" t="str">
        <f t="shared" si="15"/>
        <v/>
      </c>
      <c r="C77" s="563" t="str">
        <f t="shared" si="14"/>
        <v/>
      </c>
      <c r="D77" s="103" t="str">
        <f t="shared" si="20"/>
        <v/>
      </c>
      <c r="E77" s="636"/>
      <c r="F77" s="746" t="str">
        <f t="shared" si="21"/>
        <v/>
      </c>
      <c r="G77" s="747"/>
      <c r="H77" s="639"/>
      <c r="I77" s="439" t="str">
        <f t="shared" si="22"/>
        <v/>
      </c>
      <c r="J77" s="103" t="str">
        <f t="shared" si="23"/>
        <v/>
      </c>
      <c r="K77" s="108" t="str">
        <f t="shared" si="16"/>
        <v/>
      </c>
      <c r="L77" s="324"/>
      <c r="M77" s="579"/>
      <c r="N77" s="444"/>
      <c r="O77" s="444"/>
      <c r="P77" s="585"/>
      <c r="R77" s="120" t="str">
        <f t="shared" si="17"/>
        <v/>
      </c>
      <c r="S77" s="621" t="str">
        <f t="shared" si="18"/>
        <v/>
      </c>
      <c r="T77" s="120" t="str">
        <f t="shared" si="19"/>
        <v/>
      </c>
      <c r="U77" s="571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</row>
    <row r="78" spans="1:39" x14ac:dyDescent="0.15">
      <c r="A78" s="580">
        <v>13</v>
      </c>
      <c r="B78" s="516" t="str">
        <f t="shared" si="15"/>
        <v/>
      </c>
      <c r="C78" s="563" t="str">
        <f t="shared" si="14"/>
        <v/>
      </c>
      <c r="D78" s="103" t="str">
        <f t="shared" si="20"/>
        <v/>
      </c>
      <c r="E78" s="636"/>
      <c r="F78" s="746" t="str">
        <f t="shared" si="21"/>
        <v/>
      </c>
      <c r="G78" s="747"/>
      <c r="H78" s="639"/>
      <c r="I78" s="439" t="str">
        <f t="shared" si="22"/>
        <v/>
      </c>
      <c r="J78" s="103" t="str">
        <f t="shared" si="23"/>
        <v/>
      </c>
      <c r="K78" s="108" t="str">
        <f t="shared" si="16"/>
        <v/>
      </c>
      <c r="L78" s="324"/>
      <c r="M78" s="579"/>
      <c r="N78" s="444"/>
      <c r="O78" s="444"/>
      <c r="P78" s="585"/>
      <c r="R78" s="120" t="str">
        <f t="shared" si="17"/>
        <v/>
      </c>
      <c r="S78" s="621" t="str">
        <f t="shared" si="18"/>
        <v/>
      </c>
      <c r="T78" s="120" t="str">
        <f t="shared" si="19"/>
        <v/>
      </c>
      <c r="U78" s="575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</row>
    <row r="79" spans="1:39" x14ac:dyDescent="0.15">
      <c r="A79" s="580">
        <v>14</v>
      </c>
      <c r="B79" s="516" t="str">
        <f t="shared" si="15"/>
        <v/>
      </c>
      <c r="C79" s="563" t="str">
        <f t="shared" si="14"/>
        <v/>
      </c>
      <c r="D79" s="103" t="str">
        <f t="shared" si="20"/>
        <v/>
      </c>
      <c r="E79" s="636"/>
      <c r="F79" s="746" t="str">
        <f t="shared" si="21"/>
        <v/>
      </c>
      <c r="G79" s="747"/>
      <c r="H79" s="639"/>
      <c r="I79" s="439" t="str">
        <f t="shared" si="22"/>
        <v/>
      </c>
      <c r="J79" s="103" t="str">
        <f t="shared" si="23"/>
        <v/>
      </c>
      <c r="K79" s="108" t="str">
        <f t="shared" si="16"/>
        <v/>
      </c>
      <c r="L79" s="324"/>
      <c r="M79" s="579"/>
      <c r="N79" s="444"/>
      <c r="O79" s="444"/>
      <c r="P79" s="585"/>
      <c r="R79" s="120" t="str">
        <f t="shared" si="17"/>
        <v/>
      </c>
      <c r="S79" s="621" t="str">
        <f t="shared" si="18"/>
        <v/>
      </c>
      <c r="T79" s="120" t="str">
        <f t="shared" si="19"/>
        <v/>
      </c>
      <c r="U79" s="571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</row>
    <row r="80" spans="1:39" ht="14" thickBot="1" x14ac:dyDescent="0.2">
      <c r="A80" s="581">
        <v>15</v>
      </c>
      <c r="B80" s="517" t="str">
        <f t="shared" si="15"/>
        <v/>
      </c>
      <c r="C80" s="582" t="str">
        <f t="shared" si="14"/>
        <v/>
      </c>
      <c r="D80" s="104" t="str">
        <f t="shared" si="20"/>
        <v/>
      </c>
      <c r="E80" s="637"/>
      <c r="F80" s="750" t="str">
        <f t="shared" si="21"/>
        <v/>
      </c>
      <c r="G80" s="751"/>
      <c r="H80" s="640"/>
      <c r="I80" s="439" t="str">
        <f t="shared" si="22"/>
        <v/>
      </c>
      <c r="J80" s="103" t="str">
        <f t="shared" si="23"/>
        <v/>
      </c>
      <c r="K80" s="623" t="str">
        <f t="shared" si="16"/>
        <v/>
      </c>
      <c r="L80" s="324"/>
      <c r="M80" s="579"/>
      <c r="N80" s="444"/>
      <c r="O80" s="444"/>
      <c r="P80" s="585"/>
      <c r="R80" s="120" t="str">
        <f t="shared" si="17"/>
        <v/>
      </c>
      <c r="S80" s="621" t="str">
        <f t="shared" si="18"/>
        <v/>
      </c>
      <c r="T80" s="120" t="str">
        <f t="shared" si="19"/>
        <v/>
      </c>
      <c r="U80" s="571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</row>
    <row r="81" spans="1:39" ht="14" thickBot="1" x14ac:dyDescent="0.2">
      <c r="A81" s="6"/>
      <c r="B81" s="6"/>
      <c r="C81" s="443" t="s">
        <v>266</v>
      </c>
      <c r="D81" s="591">
        <f>SUM(D66:D80)</f>
        <v>0</v>
      </c>
      <c r="E81" s="573">
        <f>SUM(E66:E80)</f>
        <v>28</v>
      </c>
      <c r="F81" s="748">
        <f>SUM(F66:F80)</f>
        <v>0</v>
      </c>
      <c r="G81" s="749"/>
      <c r="H81" s="592">
        <f>AVERAGE(H66:H80)</f>
        <v>0.17000000000000004</v>
      </c>
      <c r="I81" s="590">
        <f>SUM(I66:I80)</f>
        <v>0</v>
      </c>
      <c r="J81" s="619">
        <f>SUM(J66:J80)</f>
        <v>0</v>
      </c>
      <c r="K81" s="622" t="str">
        <f>IF(H81="","",T81&amp;S81&amp;"  Minuti")</f>
        <v xml:space="preserve">  Minuti</v>
      </c>
      <c r="M81" s="117"/>
      <c r="N81" s="550"/>
      <c r="O81" s="550"/>
      <c r="P81" s="550"/>
      <c r="R81" s="120">
        <f t="shared" si="17"/>
        <v>0</v>
      </c>
      <c r="S81" s="621" t="str">
        <f>IF(H81="","",TEXT((R81-INT(R81))*60,"#"))</f>
        <v/>
      </c>
      <c r="T81" s="120" t="str">
        <f>IF(H81="","",IF(INT(R81)=0,"",INT(R81)&amp;" h "))</f>
        <v/>
      </c>
      <c r="U81" s="575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</row>
    <row r="82" spans="1:39" ht="14" thickTop="1" x14ac:dyDescent="0.15">
      <c r="J82" s="36" t="s">
        <v>478</v>
      </c>
      <c r="K82" s="625" t="s">
        <v>482</v>
      </c>
      <c r="P82" s="718" t="s">
        <v>504</v>
      </c>
      <c r="Q82" s="45"/>
      <c r="R82" s="579"/>
      <c r="U82" s="126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</row>
    <row r="83" spans="1:39" x14ac:dyDescent="0.15"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</row>
    <row r="84" spans="1:39" x14ac:dyDescent="0.15">
      <c r="J84" s="578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</row>
    <row r="85" spans="1:39" x14ac:dyDescent="0.15"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</row>
    <row r="86" spans="1:39" x14ac:dyDescent="0.15"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</row>
    <row r="87" spans="1:39" x14ac:dyDescent="0.15"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</row>
    <row r="88" spans="1:39" x14ac:dyDescent="0.15"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</row>
    <row r="89" spans="1:39" x14ac:dyDescent="0.15"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</row>
    <row r="90" spans="1:39" x14ac:dyDescent="0.15"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</row>
  </sheetData>
  <sheetProtection password="DB4F" sheet="1" objects="1" scenarios="1" selectLockedCells="1"/>
  <mergeCells count="61">
    <mergeCell ref="F66:G66"/>
    <mergeCell ref="F67:G67"/>
    <mergeCell ref="F65:G65"/>
    <mergeCell ref="F76:G76"/>
    <mergeCell ref="F77:G77"/>
    <mergeCell ref="F72:G72"/>
    <mergeCell ref="F73:G73"/>
    <mergeCell ref="F74:G74"/>
    <mergeCell ref="F75:G75"/>
    <mergeCell ref="F68:G68"/>
    <mergeCell ref="F69:G69"/>
    <mergeCell ref="F70:G70"/>
    <mergeCell ref="F71:G71"/>
    <mergeCell ref="F81:G81"/>
    <mergeCell ref="F80:G80"/>
    <mergeCell ref="F78:G78"/>
    <mergeCell ref="F79:G79"/>
    <mergeCell ref="F49:G49"/>
    <mergeCell ref="F50:G50"/>
    <mergeCell ref="F48:G48"/>
    <mergeCell ref="I65:J65"/>
    <mergeCell ref="F57:G57"/>
    <mergeCell ref="F58:G58"/>
    <mergeCell ref="F59:G59"/>
    <mergeCell ref="H57:I57"/>
    <mergeCell ref="H58:I58"/>
    <mergeCell ref="H59:I59"/>
    <mergeCell ref="F51:G51"/>
    <mergeCell ref="F52:G52"/>
    <mergeCell ref="H56:I56"/>
    <mergeCell ref="F44:G44"/>
    <mergeCell ref="F53:G53"/>
    <mergeCell ref="F54:G54"/>
    <mergeCell ref="F55:G55"/>
    <mergeCell ref="F45:G45"/>
    <mergeCell ref="F46:G46"/>
    <mergeCell ref="F47:G47"/>
    <mergeCell ref="H46:I46"/>
    <mergeCell ref="H47:I47"/>
    <mergeCell ref="H48:I48"/>
    <mergeCell ref="F56:G56"/>
    <mergeCell ref="H45:I45"/>
    <mergeCell ref="H53:I53"/>
    <mergeCell ref="H54:I54"/>
    <mergeCell ref="H55:I55"/>
    <mergeCell ref="H49:I49"/>
    <mergeCell ref="H50:I50"/>
    <mergeCell ref="H51:I51"/>
    <mergeCell ref="H52:I52"/>
    <mergeCell ref="M47:N47"/>
    <mergeCell ref="M59:N59"/>
    <mergeCell ref="M56:N56"/>
    <mergeCell ref="M53:N53"/>
    <mergeCell ref="M50:N50"/>
    <mergeCell ref="V45:W45"/>
    <mergeCell ref="V46:W46"/>
    <mergeCell ref="V47:W47"/>
    <mergeCell ref="V48:W48"/>
    <mergeCell ref="V52:W52"/>
    <mergeCell ref="V49:W49"/>
    <mergeCell ref="V50:W50"/>
  </mergeCells>
  <phoneticPr fontId="15" type="noConversion"/>
  <pageMargins left="0.14000000000000001" right="0.39" top="0.5" bottom="0.45" header="0.31" footer="0.25"/>
  <pageSetup paperSize="9" orientation="landscape" horizontalDpi="4294967293"/>
  <headerFooter alignWithMargins="0">
    <oddHeader>&amp;L&amp;A&amp;R&amp;F</oddHeader>
    <oddFooter>&amp;CPagina &amp;P+8&amp;R&amp;D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62"/>
  <sheetViews>
    <sheetView workbookViewId="0">
      <selection activeCell="B4" sqref="B4"/>
    </sheetView>
  </sheetViews>
  <sheetFormatPr baseColWidth="10" defaultColWidth="9.1640625" defaultRowHeight="13" x14ac:dyDescent="0.15"/>
  <cols>
    <col min="1" max="1" width="3.5" style="1" customWidth="1"/>
    <col min="2" max="2" width="12.83203125" style="1" customWidth="1"/>
    <col min="3" max="3" width="10.1640625" style="1" customWidth="1"/>
    <col min="4" max="4" width="6" style="1" customWidth="1"/>
    <col min="5" max="6" width="11.5" style="1" customWidth="1"/>
    <col min="7" max="8" width="3.5" style="1" customWidth="1"/>
    <col min="9" max="9" width="6.1640625" style="1" customWidth="1"/>
    <col min="10" max="11" width="13.6640625" style="1" customWidth="1"/>
    <col min="12" max="12" width="9.1640625" style="1"/>
    <col min="13" max="13" width="5.83203125" style="1" customWidth="1"/>
    <col min="14" max="16" width="4.5" style="1" customWidth="1"/>
    <col min="17" max="17" width="4.1640625" style="1" customWidth="1"/>
    <col min="18" max="18" width="4.5" style="1" customWidth="1"/>
    <col min="19" max="19" width="3.83203125" style="1" customWidth="1"/>
    <col min="20" max="20" width="3.33203125" style="1" customWidth="1"/>
    <col min="21" max="21" width="4" style="1" customWidth="1"/>
    <col min="22" max="22" width="3.5" style="1" customWidth="1"/>
    <col min="23" max="23" width="4.1640625" style="1" customWidth="1"/>
    <col min="24" max="24" width="4.5" style="1" customWidth="1"/>
    <col min="25" max="25" width="3.33203125" style="1" customWidth="1"/>
    <col min="26" max="27" width="3" style="1" customWidth="1"/>
    <col min="28" max="28" width="8.5" style="1" customWidth="1"/>
    <col min="29" max="29" width="4.1640625" style="1" customWidth="1"/>
    <col min="30" max="31" width="5" style="1" customWidth="1"/>
    <col min="32" max="32" width="9.5" style="1" customWidth="1"/>
    <col min="33" max="33" width="7" style="1" customWidth="1"/>
    <col min="34" max="34" width="9" style="1" customWidth="1"/>
    <col min="35" max="35" width="9.1640625" style="1"/>
    <col min="36" max="36" width="4.1640625" style="1" customWidth="1"/>
    <col min="37" max="37" width="4.33203125" style="1" customWidth="1"/>
    <col min="38" max="38" width="5.1640625" style="1" customWidth="1"/>
    <col min="39" max="39" width="3.5" style="1" customWidth="1"/>
    <col min="40" max="40" width="4.33203125" style="1" customWidth="1"/>
    <col min="41" max="41" width="7.83203125" style="1" customWidth="1"/>
    <col min="42" max="42" width="7.83203125" customWidth="1"/>
    <col min="43" max="43" width="6.5" customWidth="1"/>
    <col min="44" max="44" width="9.5" style="1" customWidth="1"/>
    <col min="45" max="16384" width="9.1640625" style="1"/>
  </cols>
  <sheetData>
    <row r="1" spans="1:44" ht="20" x14ac:dyDescent="0.2">
      <c r="A1" s="76" t="s">
        <v>209</v>
      </c>
      <c r="F1" s="264" t="str">
        <f>IF(B4="","NON CONSIDERATO","CONSIDERATO")</f>
        <v>NON CONSIDERATO</v>
      </c>
      <c r="K1" s="714" t="str">
        <f>MID([1]Persona!$D$12,1,30)</f>
        <v/>
      </c>
      <c r="M1" s="120" t="s">
        <v>210</v>
      </c>
      <c r="N1" s="120"/>
      <c r="O1" s="120"/>
      <c r="P1" s="292" t="str">
        <f>IF(B4="","","COMMERCIO")</f>
        <v/>
      </c>
      <c r="Q1" s="120"/>
      <c r="R1" s="122">
        <f>MAX(P4:P53)</f>
        <v>0</v>
      </c>
      <c r="S1" s="120"/>
      <c r="T1" s="601">
        <f>IF(P1="",0,1)</f>
        <v>0</v>
      </c>
      <c r="U1" s="120">
        <f>MAX(W4:W53)</f>
        <v>1</v>
      </c>
      <c r="V1" s="120"/>
      <c r="W1" s="120">
        <f>MAX(W4:W53)*-1</f>
        <v>-1</v>
      </c>
      <c r="X1" s="120"/>
      <c r="Y1" s="120"/>
      <c r="Z1" s="296" t="s">
        <v>211</v>
      </c>
      <c r="AA1" s="297"/>
      <c r="AB1" s="297"/>
      <c r="AC1" s="297"/>
      <c r="AD1" s="297"/>
      <c r="AE1" s="297"/>
      <c r="AF1" s="297"/>
      <c r="AG1" s="297"/>
      <c r="AH1" s="297"/>
      <c r="AI1" s="298"/>
      <c r="AJ1" s="120"/>
      <c r="AK1" s="120"/>
      <c r="AL1" s="120"/>
      <c r="AM1" s="120"/>
      <c r="AN1" s="120"/>
      <c r="AO1" s="120"/>
      <c r="AP1" s="273"/>
      <c r="AQ1" s="273"/>
    </row>
    <row r="2" spans="1:44" x14ac:dyDescent="0.15">
      <c r="C2" s="291" t="str">
        <f>IF(B4="","",IF(SUM(E4:E53)=0,"Non esiste una prestazione senza un costo",""))</f>
        <v/>
      </c>
      <c r="G2" s="321" t="s">
        <v>212</v>
      </c>
      <c r="H2" s="322"/>
      <c r="J2" s="291" t="str">
        <f>IF(U1&gt;16,"Raggiunto il massimo delle famiglie","")</f>
        <v/>
      </c>
      <c r="M2" s="120"/>
      <c r="N2" s="120"/>
      <c r="O2" s="120">
        <f>MIN(O4:O53)</f>
        <v>0</v>
      </c>
      <c r="P2" s="293"/>
      <c r="Q2" s="120"/>
      <c r="R2" s="122">
        <f>MIN(P4:P53)</f>
        <v>0</v>
      </c>
      <c r="S2" s="120"/>
      <c r="T2" s="120"/>
      <c r="U2" s="120"/>
      <c r="V2" s="120"/>
      <c r="W2" s="120"/>
      <c r="X2" s="120"/>
      <c r="Y2" s="120"/>
      <c r="Z2" s="299"/>
      <c r="AA2" s="268"/>
      <c r="AB2" s="268"/>
      <c r="AC2" s="272" t="s">
        <v>143</v>
      </c>
      <c r="AD2" s="272"/>
      <c r="AE2" s="329"/>
      <c r="AF2" s="275" t="s">
        <v>213</v>
      </c>
      <c r="AG2" s="329"/>
      <c r="AH2" s="268"/>
      <c r="AI2" s="300"/>
      <c r="AJ2" s="120"/>
      <c r="AK2" s="120"/>
      <c r="AL2" s="254" t="s">
        <v>143</v>
      </c>
      <c r="AM2" s="254"/>
      <c r="AN2" s="254"/>
      <c r="AO2" s="120"/>
      <c r="AP2" s="273"/>
      <c r="AQ2" s="273"/>
    </row>
    <row r="3" spans="1:44" ht="14" thickBot="1" x14ac:dyDescent="0.2">
      <c r="A3" s="30" t="s">
        <v>144</v>
      </c>
      <c r="B3" s="31" t="s">
        <v>145</v>
      </c>
      <c r="C3" s="31" t="s">
        <v>214</v>
      </c>
      <c r="D3" s="31" t="s">
        <v>148</v>
      </c>
      <c r="E3" s="31" t="s">
        <v>215</v>
      </c>
      <c r="F3" s="31" t="s">
        <v>216</v>
      </c>
      <c r="G3" s="221" t="s">
        <v>217</v>
      </c>
      <c r="H3" s="323" t="s">
        <v>218</v>
      </c>
      <c r="I3" s="320" t="s">
        <v>219</v>
      </c>
      <c r="J3" s="32" t="s">
        <v>220</v>
      </c>
      <c r="K3" s="32" t="s">
        <v>221</v>
      </c>
      <c r="M3" s="120" t="s">
        <v>222</v>
      </c>
      <c r="N3" s="120"/>
      <c r="O3" s="120"/>
      <c r="P3" s="268"/>
      <c r="Q3" s="120"/>
      <c r="R3" s="120"/>
      <c r="S3" s="120"/>
      <c r="T3" s="120"/>
      <c r="U3" s="120"/>
      <c r="V3" s="120"/>
      <c r="W3" s="120"/>
      <c r="X3" s="120"/>
      <c r="Y3" s="120"/>
      <c r="Z3" s="299" t="s">
        <v>223</v>
      </c>
      <c r="AA3" s="268" t="s">
        <v>224</v>
      </c>
      <c r="AB3" s="268"/>
      <c r="AC3" s="268" t="s">
        <v>217</v>
      </c>
      <c r="AD3" s="268" t="s">
        <v>225</v>
      </c>
      <c r="AE3" s="268" t="s">
        <v>218</v>
      </c>
      <c r="AF3" s="268"/>
      <c r="AG3" s="268" t="s">
        <v>148</v>
      </c>
      <c r="AH3" s="268" t="s">
        <v>226</v>
      </c>
      <c r="AI3" s="300" t="s">
        <v>227</v>
      </c>
      <c r="AJ3" s="120" t="s">
        <v>228</v>
      </c>
      <c r="AK3" s="120" t="s">
        <v>229</v>
      </c>
      <c r="AL3" s="120" t="s">
        <v>230</v>
      </c>
      <c r="AM3" s="120" t="s">
        <v>217</v>
      </c>
      <c r="AN3" s="120" t="s">
        <v>218</v>
      </c>
      <c r="AO3" s="120" t="s">
        <v>148</v>
      </c>
      <c r="AP3" s="120" t="s">
        <v>215</v>
      </c>
      <c r="AQ3" s="120" t="s">
        <v>216</v>
      </c>
      <c r="AR3" s="120" t="s">
        <v>231</v>
      </c>
    </row>
    <row r="4" spans="1:44" x14ac:dyDescent="0.15">
      <c r="A4" s="307">
        <v>1</v>
      </c>
      <c r="B4" s="282"/>
      <c r="C4" s="282"/>
      <c r="D4" s="606"/>
      <c r="E4" s="607"/>
      <c r="F4" s="607"/>
      <c r="G4" s="608"/>
      <c r="H4" s="609"/>
      <c r="I4" s="61">
        <f>IF(D4="",0,IF(H4="",D4*G4,D4*H4))</f>
        <v>0</v>
      </c>
      <c r="J4" s="55">
        <f>IF(E4="",0,IF(H4="",E4*G4,E4*H4))</f>
        <v>0</v>
      </c>
      <c r="K4" s="55">
        <f>IF(H4="",F4*G4,F4*H4)</f>
        <v>0</v>
      </c>
      <c r="M4" s="120">
        <f t="shared" ref="M4:M35" si="0">COUNTIF(C$4:C$53,C4)</f>
        <v>0</v>
      </c>
      <c r="N4" s="120">
        <f>IF(M4=0,0,IF(M4=1,A4,SUMIF(C$4:C$53,C4,A$4:A$53)+CODE(C4)))</f>
        <v>0</v>
      </c>
      <c r="O4" s="120" t="str">
        <f t="shared" ref="O4:O35" si="1">IF(N4=0,"",RANK(N4,N$4:N$53,1))</f>
        <v/>
      </c>
      <c r="P4" s="294">
        <f>IF(O4="",0,O4-($O$2-1))</f>
        <v>0</v>
      </c>
      <c r="Q4" s="120">
        <v>1</v>
      </c>
      <c r="R4" s="120">
        <f t="shared" ref="R4:R35" si="2">SUMIF(P$4:P$53,P4,S$4:S$53)</f>
        <v>50</v>
      </c>
      <c r="S4" s="122">
        <v>1</v>
      </c>
      <c r="T4" s="122">
        <f>P4</f>
        <v>0</v>
      </c>
      <c r="U4" s="120">
        <f>SUMIF(P4:P$53,P4,S4:S$53)</f>
        <v>50</v>
      </c>
      <c r="V4" s="120">
        <f t="shared" ref="V4:V53" si="3">IF((T4*100)+U4=(T4*100)+1,T4,0)</f>
        <v>0</v>
      </c>
      <c r="W4" s="120">
        <f>RANK(V4,V$4:V$53)</f>
        <v>1</v>
      </c>
      <c r="X4" s="120">
        <f>(W$1+W4)*-1</f>
        <v>0</v>
      </c>
      <c r="Y4" s="120">
        <f>SUMIF(X$4:X$53,Q4,X$4:X$53)</f>
        <v>0</v>
      </c>
      <c r="Z4" s="299" t="str">
        <f>IF(Y4=0,"",Y4)</f>
        <v/>
      </c>
      <c r="AA4" s="268">
        <f t="shared" ref="AA4:AA35" si="4">SUMIF(AJ$4:AJ$53,Y4,AK$4:AK$53)</f>
        <v>0</v>
      </c>
      <c r="AB4" s="268" t="str">
        <f t="shared" ref="AB4:AB18" si="5">IF(AA4=0,"",LOOKUP(AA4,A$4:A$53,C$4:C$53))</f>
        <v/>
      </c>
      <c r="AC4" s="268" t="str">
        <f t="shared" ref="AC4:AC35" si="6">IF(AA4=0,"",LOOKUP(AA4,A$4:A$53,AM$4:AM$53))</f>
        <v/>
      </c>
      <c r="AD4" s="268" t="str">
        <f t="shared" ref="AD4:AD35" si="7">IF(AA4=0,"",LOOKUP(AA4,A$4:A$53,AN$4:AN$53))</f>
        <v/>
      </c>
      <c r="AE4" s="268" t="str">
        <f>IF(AC4=AD4,"",AD4)</f>
        <v/>
      </c>
      <c r="AF4" s="330">
        <f>IF(AE4="",0,AE4/AC4)</f>
        <v>0</v>
      </c>
      <c r="AG4" s="275" t="str">
        <f t="shared" ref="AG4:AG35" si="8">IF(AA4=0,"",LOOKUP(AA4,A$4:A$53,AO$4:AO$53))</f>
        <v/>
      </c>
      <c r="AH4" s="275" t="str">
        <f t="shared" ref="AH4:AH35" si="9">IF(AA4=0,"",LOOKUP(AA4,A$4:A$53,AP$4:AP$53))</f>
        <v/>
      </c>
      <c r="AI4" s="301" t="str">
        <f t="shared" ref="AI4:AI35" si="10">IF(AA4=0,"",LOOKUP(AA4,A$4:A$53,AQ$4:AQ$53))</f>
        <v/>
      </c>
      <c r="AJ4" s="120" t="str">
        <f>IF(X4=0,"",X4)</f>
        <v/>
      </c>
      <c r="AK4" s="120" t="str">
        <f>IF(X4=0,"",A4)</f>
        <v/>
      </c>
      <c r="AL4" s="120">
        <f>IF(H4="",IF(G4="",0,G4),H4)</f>
        <v>0</v>
      </c>
      <c r="AM4" s="120">
        <f>SUMIF(T$4:T$53,P4,G$4:G$53)</f>
        <v>0</v>
      </c>
      <c r="AN4" s="120">
        <f>SUMIF(T$4:T$53,P4,AL$4:AL$53)</f>
        <v>0</v>
      </c>
      <c r="AO4" s="120">
        <f>SUMIF(T$4:T$53,P4,I$4:I$53)</f>
        <v>0</v>
      </c>
      <c r="AP4" s="120">
        <f>SUMIF(T$4:T$53,P4,J$4:J$53)</f>
        <v>0</v>
      </c>
      <c r="AQ4" s="120">
        <f>SUMIF(T$4:T$53,P4,K$4:K$53)</f>
        <v>0</v>
      </c>
      <c r="AR4" s="120">
        <f>F4*G4</f>
        <v>0</v>
      </c>
    </row>
    <row r="5" spans="1:44" x14ac:dyDescent="0.15">
      <c r="A5" s="307">
        <v>2</v>
      </c>
      <c r="B5" s="282"/>
      <c r="C5" s="282"/>
      <c r="D5" s="606"/>
      <c r="E5" s="607"/>
      <c r="F5" s="607"/>
      <c r="G5" s="282"/>
      <c r="H5" s="610"/>
      <c r="I5" s="61">
        <f t="shared" ref="I5:I53" si="11">IF(D5="",0,IF(H5="",D5*G5,D5*H5))</f>
        <v>0</v>
      </c>
      <c r="J5" s="55">
        <f t="shared" ref="J5:J53" si="12">IF(E5="",0,IF(H5="",E5*G5,E5*H5))</f>
        <v>0</v>
      </c>
      <c r="K5" s="55">
        <f t="shared" ref="K5:K53" si="13">IF(H5="",F5*G5,F5*H5)</f>
        <v>0</v>
      </c>
      <c r="M5" s="120">
        <f t="shared" si="0"/>
        <v>0</v>
      </c>
      <c r="N5" s="120">
        <f t="shared" ref="N5:N53" si="14">IF(M5=0,0,IF(M5=1,A5,SUMIF(C$4:C$53,C5,A$4:A$53)+CODE(C5)))</f>
        <v>0</v>
      </c>
      <c r="O5" s="120" t="str">
        <f t="shared" si="1"/>
        <v/>
      </c>
      <c r="P5" s="294">
        <f t="shared" ref="P5:P53" si="15">IF(O5="",0,O5-($O$2-1))</f>
        <v>0</v>
      </c>
      <c r="Q5" s="120">
        <v>2</v>
      </c>
      <c r="R5" s="120">
        <f t="shared" si="2"/>
        <v>50</v>
      </c>
      <c r="S5" s="122">
        <v>1</v>
      </c>
      <c r="T5" s="122">
        <f t="shared" ref="T5:T27" si="16">P5</f>
        <v>0</v>
      </c>
      <c r="U5" s="120">
        <f>SUMIF(P5:P$53,P5,S5:S$53)</f>
        <v>49</v>
      </c>
      <c r="V5" s="120">
        <f t="shared" si="3"/>
        <v>0</v>
      </c>
      <c r="W5" s="120">
        <f t="shared" ref="W5:W53" si="17">RANK(V5,V$4:V$53)</f>
        <v>1</v>
      </c>
      <c r="X5" s="120">
        <f t="shared" ref="X5:X53" si="18">(W$1+W5)*-1</f>
        <v>0</v>
      </c>
      <c r="Y5" s="120">
        <f t="shared" ref="Y5:Y53" si="19">SUMIF(X$4:X$53,Q5,X$4:X$53)</f>
        <v>0</v>
      </c>
      <c r="Z5" s="299" t="str">
        <f t="shared" ref="Z5:Z21" si="20">IF(Y5=0,"",Y5)</f>
        <v/>
      </c>
      <c r="AA5" s="268">
        <f t="shared" si="4"/>
        <v>0</v>
      </c>
      <c r="AB5" s="268" t="str">
        <f t="shared" si="5"/>
        <v/>
      </c>
      <c r="AC5" s="268" t="str">
        <f t="shared" si="6"/>
        <v/>
      </c>
      <c r="AD5" s="268" t="str">
        <f t="shared" si="7"/>
        <v/>
      </c>
      <c r="AE5" s="268" t="str">
        <f t="shared" ref="AE5:AE18" si="21">IF(AC5=AD5,"",AD5)</f>
        <v/>
      </c>
      <c r="AF5" s="330">
        <f t="shared" ref="AF5:AF53" si="22">IF(AE5="",0,AE5/AC5)</f>
        <v>0</v>
      </c>
      <c r="AG5" s="275" t="str">
        <f t="shared" si="8"/>
        <v/>
      </c>
      <c r="AH5" s="275" t="str">
        <f t="shared" si="9"/>
        <v/>
      </c>
      <c r="AI5" s="301" t="str">
        <f t="shared" si="10"/>
        <v/>
      </c>
      <c r="AJ5" s="120" t="str">
        <f t="shared" ref="AJ5:AJ53" si="23">IF(X5=0,"",X5)</f>
        <v/>
      </c>
      <c r="AK5" s="120" t="str">
        <f t="shared" ref="AK5:AK53" si="24">IF(X5=0,"",A5)</f>
        <v/>
      </c>
      <c r="AL5" s="120">
        <f t="shared" ref="AL5:AL53" si="25">IF(H5="",IF(G5="",0,G5),H5)</f>
        <v>0</v>
      </c>
      <c r="AM5" s="120">
        <f t="shared" ref="AM5:AM35" si="26">SUMIF(T$4:T$53,P5,G$4:G$53)</f>
        <v>0</v>
      </c>
      <c r="AN5" s="120">
        <f t="shared" ref="AN5:AN53" si="27">SUMIF(T$4:T$53,P5,AL$4:AL$53)</f>
        <v>0</v>
      </c>
      <c r="AO5" s="120">
        <f t="shared" ref="AO5:AO53" si="28">SUMIF(T$4:T$53,P5,I$4:I$53)</f>
        <v>0</v>
      </c>
      <c r="AP5" s="120">
        <f t="shared" ref="AP5:AP53" si="29">SUMIF(T$4:T$53,P5,J$4:J$53)</f>
        <v>0</v>
      </c>
      <c r="AQ5" s="120">
        <f t="shared" ref="AQ5:AQ53" si="30">SUMIF(T$4:T$53,P5,K$4:K$53)</f>
        <v>0</v>
      </c>
      <c r="AR5" s="120">
        <f t="shared" ref="AR5:AR53" si="31">F5*G5</f>
        <v>0</v>
      </c>
    </row>
    <row r="6" spans="1:44" x14ac:dyDescent="0.15">
      <c r="A6" s="307">
        <v>3</v>
      </c>
      <c r="B6" s="282"/>
      <c r="C6" s="282"/>
      <c r="D6" s="606"/>
      <c r="E6" s="607"/>
      <c r="F6" s="607"/>
      <c r="G6" s="282"/>
      <c r="H6" s="610"/>
      <c r="I6" s="61">
        <f t="shared" si="11"/>
        <v>0</v>
      </c>
      <c r="J6" s="55">
        <f t="shared" si="12"/>
        <v>0</v>
      </c>
      <c r="K6" s="55">
        <f t="shared" si="13"/>
        <v>0</v>
      </c>
      <c r="M6" s="120">
        <f t="shared" si="0"/>
        <v>0</v>
      </c>
      <c r="N6" s="120">
        <f t="shared" si="14"/>
        <v>0</v>
      </c>
      <c r="O6" s="120" t="str">
        <f t="shared" si="1"/>
        <v/>
      </c>
      <c r="P6" s="294">
        <f t="shared" si="15"/>
        <v>0</v>
      </c>
      <c r="Q6" s="120">
        <v>3</v>
      </c>
      <c r="R6" s="120">
        <f t="shared" si="2"/>
        <v>50</v>
      </c>
      <c r="S6" s="122">
        <v>1</v>
      </c>
      <c r="T6" s="122">
        <f t="shared" si="16"/>
        <v>0</v>
      </c>
      <c r="U6" s="120">
        <f>SUMIF(P6:P$53,P6,S6:S$53)</f>
        <v>48</v>
      </c>
      <c r="V6" s="120">
        <f t="shared" si="3"/>
        <v>0</v>
      </c>
      <c r="W6" s="120">
        <f t="shared" si="17"/>
        <v>1</v>
      </c>
      <c r="X6" s="120">
        <f t="shared" si="18"/>
        <v>0</v>
      </c>
      <c r="Y6" s="120">
        <f t="shared" si="19"/>
        <v>0</v>
      </c>
      <c r="Z6" s="299" t="str">
        <f t="shared" si="20"/>
        <v/>
      </c>
      <c r="AA6" s="268">
        <f t="shared" si="4"/>
        <v>0</v>
      </c>
      <c r="AB6" s="268" t="str">
        <f t="shared" si="5"/>
        <v/>
      </c>
      <c r="AC6" s="268" t="str">
        <f t="shared" si="6"/>
        <v/>
      </c>
      <c r="AD6" s="268" t="str">
        <f t="shared" si="7"/>
        <v/>
      </c>
      <c r="AE6" s="268" t="str">
        <f t="shared" si="21"/>
        <v/>
      </c>
      <c r="AF6" s="330">
        <f t="shared" si="22"/>
        <v>0</v>
      </c>
      <c r="AG6" s="275" t="str">
        <f t="shared" si="8"/>
        <v/>
      </c>
      <c r="AH6" s="275" t="str">
        <f t="shared" si="9"/>
        <v/>
      </c>
      <c r="AI6" s="301" t="str">
        <f t="shared" si="10"/>
        <v/>
      </c>
      <c r="AJ6" s="120" t="str">
        <f t="shared" si="23"/>
        <v/>
      </c>
      <c r="AK6" s="120" t="str">
        <f t="shared" si="24"/>
        <v/>
      </c>
      <c r="AL6" s="120">
        <f t="shared" si="25"/>
        <v>0</v>
      </c>
      <c r="AM6" s="120">
        <f t="shared" si="26"/>
        <v>0</v>
      </c>
      <c r="AN6" s="120">
        <f t="shared" si="27"/>
        <v>0</v>
      </c>
      <c r="AO6" s="120">
        <f t="shared" si="28"/>
        <v>0</v>
      </c>
      <c r="AP6" s="120">
        <f t="shared" si="29"/>
        <v>0</v>
      </c>
      <c r="AQ6" s="120">
        <f t="shared" si="30"/>
        <v>0</v>
      </c>
      <c r="AR6" s="120">
        <f t="shared" si="31"/>
        <v>0</v>
      </c>
    </row>
    <row r="7" spans="1:44" x14ac:dyDescent="0.15">
      <c r="A7" s="307">
        <v>4</v>
      </c>
      <c r="B7" s="282"/>
      <c r="C7" s="282"/>
      <c r="D7" s="606"/>
      <c r="E7" s="607"/>
      <c r="F7" s="607"/>
      <c r="G7" s="282"/>
      <c r="H7" s="610"/>
      <c r="I7" s="61">
        <f t="shared" si="11"/>
        <v>0</v>
      </c>
      <c r="J7" s="55">
        <f t="shared" si="12"/>
        <v>0</v>
      </c>
      <c r="K7" s="55">
        <f t="shared" si="13"/>
        <v>0</v>
      </c>
      <c r="M7" s="120">
        <f t="shared" si="0"/>
        <v>0</v>
      </c>
      <c r="N7" s="120">
        <f t="shared" si="14"/>
        <v>0</v>
      </c>
      <c r="O7" s="120" t="str">
        <f t="shared" si="1"/>
        <v/>
      </c>
      <c r="P7" s="294">
        <f t="shared" si="15"/>
        <v>0</v>
      </c>
      <c r="Q7" s="120">
        <v>4</v>
      </c>
      <c r="R7" s="120">
        <f t="shared" si="2"/>
        <v>50</v>
      </c>
      <c r="S7" s="122">
        <v>1</v>
      </c>
      <c r="T7" s="122">
        <f t="shared" si="16"/>
        <v>0</v>
      </c>
      <c r="U7" s="120">
        <f>SUMIF(P7:P$53,P7,S7:S$53)</f>
        <v>47</v>
      </c>
      <c r="V7" s="120">
        <f t="shared" si="3"/>
        <v>0</v>
      </c>
      <c r="W7" s="120">
        <f t="shared" si="17"/>
        <v>1</v>
      </c>
      <c r="X7" s="120">
        <f t="shared" si="18"/>
        <v>0</v>
      </c>
      <c r="Y7" s="120">
        <f t="shared" si="19"/>
        <v>0</v>
      </c>
      <c r="Z7" s="299" t="str">
        <f t="shared" si="20"/>
        <v/>
      </c>
      <c r="AA7" s="268">
        <f t="shared" si="4"/>
        <v>0</v>
      </c>
      <c r="AB7" s="268" t="str">
        <f t="shared" si="5"/>
        <v/>
      </c>
      <c r="AC7" s="268" t="str">
        <f t="shared" si="6"/>
        <v/>
      </c>
      <c r="AD7" s="268" t="str">
        <f t="shared" si="7"/>
        <v/>
      </c>
      <c r="AE7" s="268" t="str">
        <f t="shared" si="21"/>
        <v/>
      </c>
      <c r="AF7" s="330">
        <f t="shared" si="22"/>
        <v>0</v>
      </c>
      <c r="AG7" s="275" t="str">
        <f t="shared" si="8"/>
        <v/>
      </c>
      <c r="AH7" s="275" t="str">
        <f t="shared" si="9"/>
        <v/>
      </c>
      <c r="AI7" s="301" t="str">
        <f t="shared" si="10"/>
        <v/>
      </c>
      <c r="AJ7" s="120" t="str">
        <f t="shared" si="23"/>
        <v/>
      </c>
      <c r="AK7" s="120" t="str">
        <f t="shared" si="24"/>
        <v/>
      </c>
      <c r="AL7" s="120">
        <f t="shared" si="25"/>
        <v>0</v>
      </c>
      <c r="AM7" s="120">
        <f t="shared" si="26"/>
        <v>0</v>
      </c>
      <c r="AN7" s="120">
        <f t="shared" si="27"/>
        <v>0</v>
      </c>
      <c r="AO7" s="120">
        <f t="shared" si="28"/>
        <v>0</v>
      </c>
      <c r="AP7" s="120">
        <f t="shared" si="29"/>
        <v>0</v>
      </c>
      <c r="AQ7" s="120">
        <f t="shared" si="30"/>
        <v>0</v>
      </c>
      <c r="AR7" s="120">
        <f t="shared" si="31"/>
        <v>0</v>
      </c>
    </row>
    <row r="8" spans="1:44" x14ac:dyDescent="0.15">
      <c r="A8" s="307">
        <v>5</v>
      </c>
      <c r="B8" s="282"/>
      <c r="C8" s="282"/>
      <c r="D8" s="606"/>
      <c r="E8" s="607"/>
      <c r="F8" s="607"/>
      <c r="G8" s="282"/>
      <c r="H8" s="610"/>
      <c r="I8" s="61">
        <f t="shared" si="11"/>
        <v>0</v>
      </c>
      <c r="J8" s="55">
        <f t="shared" si="12"/>
        <v>0</v>
      </c>
      <c r="K8" s="55">
        <f t="shared" si="13"/>
        <v>0</v>
      </c>
      <c r="M8" s="120">
        <f t="shared" si="0"/>
        <v>0</v>
      </c>
      <c r="N8" s="120">
        <f t="shared" si="14"/>
        <v>0</v>
      </c>
      <c r="O8" s="120" t="str">
        <f t="shared" si="1"/>
        <v/>
      </c>
      <c r="P8" s="294">
        <f t="shared" si="15"/>
        <v>0</v>
      </c>
      <c r="Q8" s="120">
        <v>5</v>
      </c>
      <c r="R8" s="120">
        <f t="shared" si="2"/>
        <v>50</v>
      </c>
      <c r="S8" s="122">
        <v>1</v>
      </c>
      <c r="T8" s="122">
        <f t="shared" si="16"/>
        <v>0</v>
      </c>
      <c r="U8" s="120">
        <f>SUMIF(P8:P$53,P8,S8:S$53)</f>
        <v>46</v>
      </c>
      <c r="V8" s="120">
        <f t="shared" si="3"/>
        <v>0</v>
      </c>
      <c r="W8" s="120">
        <f t="shared" si="17"/>
        <v>1</v>
      </c>
      <c r="X8" s="120">
        <f t="shared" si="18"/>
        <v>0</v>
      </c>
      <c r="Y8" s="120">
        <f t="shared" si="19"/>
        <v>0</v>
      </c>
      <c r="Z8" s="299" t="str">
        <f t="shared" si="20"/>
        <v/>
      </c>
      <c r="AA8" s="268">
        <f t="shared" si="4"/>
        <v>0</v>
      </c>
      <c r="AB8" s="268" t="str">
        <f t="shared" si="5"/>
        <v/>
      </c>
      <c r="AC8" s="268" t="str">
        <f t="shared" si="6"/>
        <v/>
      </c>
      <c r="AD8" s="268" t="str">
        <f t="shared" si="7"/>
        <v/>
      </c>
      <c r="AE8" s="268" t="str">
        <f t="shared" si="21"/>
        <v/>
      </c>
      <c r="AF8" s="330">
        <f t="shared" si="22"/>
        <v>0</v>
      </c>
      <c r="AG8" s="275" t="str">
        <f t="shared" si="8"/>
        <v/>
      </c>
      <c r="AH8" s="275" t="str">
        <f t="shared" si="9"/>
        <v/>
      </c>
      <c r="AI8" s="301" t="str">
        <f t="shared" si="10"/>
        <v/>
      </c>
      <c r="AJ8" s="120" t="str">
        <f t="shared" si="23"/>
        <v/>
      </c>
      <c r="AK8" s="120" t="str">
        <f t="shared" si="24"/>
        <v/>
      </c>
      <c r="AL8" s="120">
        <f t="shared" si="25"/>
        <v>0</v>
      </c>
      <c r="AM8" s="120">
        <f t="shared" si="26"/>
        <v>0</v>
      </c>
      <c r="AN8" s="120">
        <f t="shared" si="27"/>
        <v>0</v>
      </c>
      <c r="AO8" s="120">
        <f t="shared" si="28"/>
        <v>0</v>
      </c>
      <c r="AP8" s="120">
        <f t="shared" si="29"/>
        <v>0</v>
      </c>
      <c r="AQ8" s="120">
        <f t="shared" si="30"/>
        <v>0</v>
      </c>
      <c r="AR8" s="120">
        <f t="shared" si="31"/>
        <v>0</v>
      </c>
    </row>
    <row r="9" spans="1:44" x14ac:dyDescent="0.15">
      <c r="A9" s="307">
        <v>6</v>
      </c>
      <c r="B9" s="282"/>
      <c r="C9" s="282"/>
      <c r="D9" s="606"/>
      <c r="E9" s="607"/>
      <c r="F9" s="607"/>
      <c r="G9" s="282"/>
      <c r="H9" s="610"/>
      <c r="I9" s="61">
        <f t="shared" si="11"/>
        <v>0</v>
      </c>
      <c r="J9" s="55">
        <f t="shared" si="12"/>
        <v>0</v>
      </c>
      <c r="K9" s="55">
        <f t="shared" si="13"/>
        <v>0</v>
      </c>
      <c r="M9" s="120">
        <f t="shared" si="0"/>
        <v>0</v>
      </c>
      <c r="N9" s="120">
        <f t="shared" si="14"/>
        <v>0</v>
      </c>
      <c r="O9" s="120" t="str">
        <f t="shared" si="1"/>
        <v/>
      </c>
      <c r="P9" s="294">
        <f t="shared" si="15"/>
        <v>0</v>
      </c>
      <c r="Q9" s="120">
        <v>6</v>
      </c>
      <c r="R9" s="120">
        <f t="shared" si="2"/>
        <v>50</v>
      </c>
      <c r="S9" s="122">
        <v>1</v>
      </c>
      <c r="T9" s="122">
        <f t="shared" si="16"/>
        <v>0</v>
      </c>
      <c r="U9" s="120">
        <f>SUMIF(P9:P$53,P9,S9:S$53)</f>
        <v>45</v>
      </c>
      <c r="V9" s="120">
        <f t="shared" si="3"/>
        <v>0</v>
      </c>
      <c r="W9" s="120">
        <f t="shared" si="17"/>
        <v>1</v>
      </c>
      <c r="X9" s="120">
        <f t="shared" si="18"/>
        <v>0</v>
      </c>
      <c r="Y9" s="120">
        <f t="shared" si="19"/>
        <v>0</v>
      </c>
      <c r="Z9" s="299" t="str">
        <f t="shared" si="20"/>
        <v/>
      </c>
      <c r="AA9" s="268">
        <f t="shared" si="4"/>
        <v>0</v>
      </c>
      <c r="AB9" s="268" t="str">
        <f t="shared" si="5"/>
        <v/>
      </c>
      <c r="AC9" s="268" t="str">
        <f t="shared" si="6"/>
        <v/>
      </c>
      <c r="AD9" s="268" t="str">
        <f t="shared" si="7"/>
        <v/>
      </c>
      <c r="AE9" s="268" t="str">
        <f t="shared" si="21"/>
        <v/>
      </c>
      <c r="AF9" s="330">
        <f t="shared" si="22"/>
        <v>0</v>
      </c>
      <c r="AG9" s="275" t="str">
        <f t="shared" si="8"/>
        <v/>
      </c>
      <c r="AH9" s="275" t="str">
        <f t="shared" si="9"/>
        <v/>
      </c>
      <c r="AI9" s="301" t="str">
        <f t="shared" si="10"/>
        <v/>
      </c>
      <c r="AJ9" s="120" t="str">
        <f t="shared" si="23"/>
        <v/>
      </c>
      <c r="AK9" s="120" t="str">
        <f t="shared" si="24"/>
        <v/>
      </c>
      <c r="AL9" s="120">
        <f t="shared" si="25"/>
        <v>0</v>
      </c>
      <c r="AM9" s="120">
        <f t="shared" si="26"/>
        <v>0</v>
      </c>
      <c r="AN9" s="120">
        <f t="shared" si="27"/>
        <v>0</v>
      </c>
      <c r="AO9" s="120">
        <f t="shared" si="28"/>
        <v>0</v>
      </c>
      <c r="AP9" s="120">
        <f t="shared" si="29"/>
        <v>0</v>
      </c>
      <c r="AQ9" s="120">
        <f t="shared" si="30"/>
        <v>0</v>
      </c>
      <c r="AR9" s="120">
        <f t="shared" si="31"/>
        <v>0</v>
      </c>
    </row>
    <row r="10" spans="1:44" x14ac:dyDescent="0.15">
      <c r="A10" s="307">
        <v>7</v>
      </c>
      <c r="B10" s="282"/>
      <c r="C10" s="282"/>
      <c r="D10" s="606"/>
      <c r="E10" s="607"/>
      <c r="F10" s="607"/>
      <c r="G10" s="282"/>
      <c r="H10" s="610"/>
      <c r="I10" s="61">
        <f t="shared" si="11"/>
        <v>0</v>
      </c>
      <c r="J10" s="55">
        <f t="shared" si="12"/>
        <v>0</v>
      </c>
      <c r="K10" s="55">
        <f t="shared" si="13"/>
        <v>0</v>
      </c>
      <c r="M10" s="120">
        <f t="shared" si="0"/>
        <v>0</v>
      </c>
      <c r="N10" s="120">
        <f t="shared" si="14"/>
        <v>0</v>
      </c>
      <c r="O10" s="120" t="str">
        <f t="shared" si="1"/>
        <v/>
      </c>
      <c r="P10" s="294">
        <f t="shared" si="15"/>
        <v>0</v>
      </c>
      <c r="Q10" s="120">
        <v>7</v>
      </c>
      <c r="R10" s="120">
        <f t="shared" si="2"/>
        <v>50</v>
      </c>
      <c r="S10" s="122">
        <v>1</v>
      </c>
      <c r="T10" s="122">
        <f t="shared" si="16"/>
        <v>0</v>
      </c>
      <c r="U10" s="120">
        <f>SUMIF(P10:P$53,P10,S10:S$53)</f>
        <v>44</v>
      </c>
      <c r="V10" s="120">
        <f t="shared" si="3"/>
        <v>0</v>
      </c>
      <c r="W10" s="120">
        <f t="shared" si="17"/>
        <v>1</v>
      </c>
      <c r="X10" s="120">
        <f t="shared" si="18"/>
        <v>0</v>
      </c>
      <c r="Y10" s="120">
        <f t="shared" si="19"/>
        <v>0</v>
      </c>
      <c r="Z10" s="299" t="str">
        <f t="shared" si="20"/>
        <v/>
      </c>
      <c r="AA10" s="268">
        <f t="shared" si="4"/>
        <v>0</v>
      </c>
      <c r="AB10" s="268" t="str">
        <f t="shared" si="5"/>
        <v/>
      </c>
      <c r="AC10" s="268" t="str">
        <f t="shared" si="6"/>
        <v/>
      </c>
      <c r="AD10" s="268" t="str">
        <f t="shared" si="7"/>
        <v/>
      </c>
      <c r="AE10" s="268" t="str">
        <f t="shared" si="21"/>
        <v/>
      </c>
      <c r="AF10" s="330">
        <f t="shared" si="22"/>
        <v>0</v>
      </c>
      <c r="AG10" s="275" t="str">
        <f t="shared" si="8"/>
        <v/>
      </c>
      <c r="AH10" s="275" t="str">
        <f t="shared" si="9"/>
        <v/>
      </c>
      <c r="AI10" s="301" t="str">
        <f t="shared" si="10"/>
        <v/>
      </c>
      <c r="AJ10" s="120" t="str">
        <f t="shared" si="23"/>
        <v/>
      </c>
      <c r="AK10" s="120" t="str">
        <f t="shared" si="24"/>
        <v/>
      </c>
      <c r="AL10" s="120">
        <f t="shared" si="25"/>
        <v>0</v>
      </c>
      <c r="AM10" s="120">
        <f t="shared" si="26"/>
        <v>0</v>
      </c>
      <c r="AN10" s="120">
        <f t="shared" si="27"/>
        <v>0</v>
      </c>
      <c r="AO10" s="120">
        <f t="shared" si="28"/>
        <v>0</v>
      </c>
      <c r="AP10" s="120">
        <f t="shared" si="29"/>
        <v>0</v>
      </c>
      <c r="AQ10" s="120">
        <f t="shared" si="30"/>
        <v>0</v>
      </c>
      <c r="AR10" s="120">
        <f t="shared" si="31"/>
        <v>0</v>
      </c>
    </row>
    <row r="11" spans="1:44" x14ac:dyDescent="0.15">
      <c r="A11" s="307">
        <v>8</v>
      </c>
      <c r="B11" s="282"/>
      <c r="C11" s="282"/>
      <c r="D11" s="606"/>
      <c r="E11" s="607"/>
      <c r="F11" s="607"/>
      <c r="G11" s="282"/>
      <c r="H11" s="610"/>
      <c r="I11" s="61">
        <f t="shared" si="11"/>
        <v>0</v>
      </c>
      <c r="J11" s="55">
        <f t="shared" si="12"/>
        <v>0</v>
      </c>
      <c r="K11" s="55">
        <f t="shared" si="13"/>
        <v>0</v>
      </c>
      <c r="M11" s="120">
        <f t="shared" si="0"/>
        <v>0</v>
      </c>
      <c r="N11" s="120">
        <f t="shared" si="14"/>
        <v>0</v>
      </c>
      <c r="O11" s="120" t="str">
        <f t="shared" si="1"/>
        <v/>
      </c>
      <c r="P11" s="294">
        <f t="shared" si="15"/>
        <v>0</v>
      </c>
      <c r="Q11" s="120">
        <v>8</v>
      </c>
      <c r="R11" s="120">
        <f t="shared" si="2"/>
        <v>50</v>
      </c>
      <c r="S11" s="122">
        <v>1</v>
      </c>
      <c r="T11" s="122">
        <f t="shared" si="16"/>
        <v>0</v>
      </c>
      <c r="U11" s="120">
        <f>SUMIF(P11:P$53,P11,S11:S$53)</f>
        <v>43</v>
      </c>
      <c r="V11" s="120">
        <f t="shared" si="3"/>
        <v>0</v>
      </c>
      <c r="W11" s="120">
        <f t="shared" si="17"/>
        <v>1</v>
      </c>
      <c r="X11" s="120">
        <f t="shared" si="18"/>
        <v>0</v>
      </c>
      <c r="Y11" s="120">
        <f t="shared" si="19"/>
        <v>0</v>
      </c>
      <c r="Z11" s="299" t="str">
        <f t="shared" si="20"/>
        <v/>
      </c>
      <c r="AA11" s="268">
        <f t="shared" si="4"/>
        <v>0</v>
      </c>
      <c r="AB11" s="268" t="str">
        <f t="shared" si="5"/>
        <v/>
      </c>
      <c r="AC11" s="268" t="str">
        <f t="shared" si="6"/>
        <v/>
      </c>
      <c r="AD11" s="268" t="str">
        <f t="shared" si="7"/>
        <v/>
      </c>
      <c r="AE11" s="268" t="str">
        <f t="shared" si="21"/>
        <v/>
      </c>
      <c r="AF11" s="330">
        <f t="shared" si="22"/>
        <v>0</v>
      </c>
      <c r="AG11" s="275" t="str">
        <f t="shared" si="8"/>
        <v/>
      </c>
      <c r="AH11" s="275" t="str">
        <f t="shared" si="9"/>
        <v/>
      </c>
      <c r="AI11" s="301" t="str">
        <f t="shared" si="10"/>
        <v/>
      </c>
      <c r="AJ11" s="120" t="str">
        <f t="shared" si="23"/>
        <v/>
      </c>
      <c r="AK11" s="120" t="str">
        <f t="shared" si="24"/>
        <v/>
      </c>
      <c r="AL11" s="120">
        <f t="shared" si="25"/>
        <v>0</v>
      </c>
      <c r="AM11" s="120">
        <f t="shared" si="26"/>
        <v>0</v>
      </c>
      <c r="AN11" s="120">
        <f t="shared" si="27"/>
        <v>0</v>
      </c>
      <c r="AO11" s="120">
        <f t="shared" si="28"/>
        <v>0</v>
      </c>
      <c r="AP11" s="120">
        <f t="shared" si="29"/>
        <v>0</v>
      </c>
      <c r="AQ11" s="120">
        <f t="shared" si="30"/>
        <v>0</v>
      </c>
      <c r="AR11" s="120">
        <f t="shared" si="31"/>
        <v>0</v>
      </c>
    </row>
    <row r="12" spans="1:44" x14ac:dyDescent="0.15">
      <c r="A12" s="307">
        <v>9</v>
      </c>
      <c r="B12" s="282"/>
      <c r="C12" s="282"/>
      <c r="D12" s="606"/>
      <c r="E12" s="607"/>
      <c r="F12" s="607"/>
      <c r="G12" s="282"/>
      <c r="H12" s="610"/>
      <c r="I12" s="61">
        <f t="shared" si="11"/>
        <v>0</v>
      </c>
      <c r="J12" s="55">
        <f t="shared" si="12"/>
        <v>0</v>
      </c>
      <c r="K12" s="55">
        <f t="shared" si="13"/>
        <v>0</v>
      </c>
      <c r="M12" s="120">
        <f t="shared" si="0"/>
        <v>0</v>
      </c>
      <c r="N12" s="120">
        <f t="shared" si="14"/>
        <v>0</v>
      </c>
      <c r="O12" s="120" t="str">
        <f t="shared" si="1"/>
        <v/>
      </c>
      <c r="P12" s="294">
        <f t="shared" si="15"/>
        <v>0</v>
      </c>
      <c r="Q12" s="120">
        <v>9</v>
      </c>
      <c r="R12" s="120">
        <f t="shared" si="2"/>
        <v>50</v>
      </c>
      <c r="S12" s="122">
        <v>1</v>
      </c>
      <c r="T12" s="122">
        <f t="shared" si="16"/>
        <v>0</v>
      </c>
      <c r="U12" s="120">
        <f>SUMIF(P12:P$53,P12,S12:S$53)</f>
        <v>42</v>
      </c>
      <c r="V12" s="120">
        <f t="shared" si="3"/>
        <v>0</v>
      </c>
      <c r="W12" s="120">
        <f t="shared" si="17"/>
        <v>1</v>
      </c>
      <c r="X12" s="120">
        <f t="shared" si="18"/>
        <v>0</v>
      </c>
      <c r="Y12" s="120">
        <f t="shared" si="19"/>
        <v>0</v>
      </c>
      <c r="Z12" s="299" t="str">
        <f t="shared" si="20"/>
        <v/>
      </c>
      <c r="AA12" s="268">
        <f t="shared" si="4"/>
        <v>0</v>
      </c>
      <c r="AB12" s="268" t="str">
        <f t="shared" si="5"/>
        <v/>
      </c>
      <c r="AC12" s="268" t="str">
        <f t="shared" si="6"/>
        <v/>
      </c>
      <c r="AD12" s="268" t="str">
        <f t="shared" si="7"/>
        <v/>
      </c>
      <c r="AE12" s="268" t="str">
        <f t="shared" si="21"/>
        <v/>
      </c>
      <c r="AF12" s="330">
        <f t="shared" si="22"/>
        <v>0</v>
      </c>
      <c r="AG12" s="275" t="str">
        <f t="shared" si="8"/>
        <v/>
      </c>
      <c r="AH12" s="275" t="str">
        <f t="shared" si="9"/>
        <v/>
      </c>
      <c r="AI12" s="301" t="str">
        <f t="shared" si="10"/>
        <v/>
      </c>
      <c r="AJ12" s="120" t="str">
        <f t="shared" si="23"/>
        <v/>
      </c>
      <c r="AK12" s="120" t="str">
        <f t="shared" si="24"/>
        <v/>
      </c>
      <c r="AL12" s="120">
        <f t="shared" si="25"/>
        <v>0</v>
      </c>
      <c r="AM12" s="120">
        <f t="shared" si="26"/>
        <v>0</v>
      </c>
      <c r="AN12" s="120">
        <f t="shared" si="27"/>
        <v>0</v>
      </c>
      <c r="AO12" s="120">
        <f t="shared" si="28"/>
        <v>0</v>
      </c>
      <c r="AP12" s="120">
        <f t="shared" si="29"/>
        <v>0</v>
      </c>
      <c r="AQ12" s="120">
        <f t="shared" si="30"/>
        <v>0</v>
      </c>
      <c r="AR12" s="120">
        <f t="shared" si="31"/>
        <v>0</v>
      </c>
    </row>
    <row r="13" spans="1:44" x14ac:dyDescent="0.15">
      <c r="A13" s="307">
        <v>10</v>
      </c>
      <c r="B13" s="282"/>
      <c r="C13" s="282"/>
      <c r="D13" s="606"/>
      <c r="E13" s="607"/>
      <c r="F13" s="607"/>
      <c r="G13" s="282"/>
      <c r="H13" s="610"/>
      <c r="I13" s="61">
        <f t="shared" si="11"/>
        <v>0</v>
      </c>
      <c r="J13" s="55">
        <f t="shared" si="12"/>
        <v>0</v>
      </c>
      <c r="K13" s="55">
        <f t="shared" si="13"/>
        <v>0</v>
      </c>
      <c r="M13" s="120">
        <f t="shared" si="0"/>
        <v>0</v>
      </c>
      <c r="N13" s="120">
        <f t="shared" si="14"/>
        <v>0</v>
      </c>
      <c r="O13" s="120" t="str">
        <f t="shared" si="1"/>
        <v/>
      </c>
      <c r="P13" s="294">
        <f t="shared" si="15"/>
        <v>0</v>
      </c>
      <c r="Q13" s="120">
        <v>10</v>
      </c>
      <c r="R13" s="120">
        <f t="shared" si="2"/>
        <v>50</v>
      </c>
      <c r="S13" s="122">
        <v>1</v>
      </c>
      <c r="T13" s="122">
        <f t="shared" si="16"/>
        <v>0</v>
      </c>
      <c r="U13" s="120">
        <f>SUMIF(P13:P$53,P13,S13:S$53)</f>
        <v>41</v>
      </c>
      <c r="V13" s="120">
        <f t="shared" si="3"/>
        <v>0</v>
      </c>
      <c r="W13" s="120">
        <f t="shared" si="17"/>
        <v>1</v>
      </c>
      <c r="X13" s="120">
        <f t="shared" si="18"/>
        <v>0</v>
      </c>
      <c r="Y13" s="120">
        <f t="shared" si="19"/>
        <v>0</v>
      </c>
      <c r="Z13" s="299" t="str">
        <f t="shared" si="20"/>
        <v/>
      </c>
      <c r="AA13" s="268">
        <f t="shared" si="4"/>
        <v>0</v>
      </c>
      <c r="AB13" s="268" t="str">
        <f t="shared" si="5"/>
        <v/>
      </c>
      <c r="AC13" s="268" t="str">
        <f t="shared" si="6"/>
        <v/>
      </c>
      <c r="AD13" s="268" t="str">
        <f t="shared" si="7"/>
        <v/>
      </c>
      <c r="AE13" s="268" t="str">
        <f t="shared" si="21"/>
        <v/>
      </c>
      <c r="AF13" s="330">
        <f t="shared" si="22"/>
        <v>0</v>
      </c>
      <c r="AG13" s="275" t="str">
        <f t="shared" si="8"/>
        <v/>
      </c>
      <c r="AH13" s="275" t="str">
        <f t="shared" si="9"/>
        <v/>
      </c>
      <c r="AI13" s="301" t="str">
        <f t="shared" si="10"/>
        <v/>
      </c>
      <c r="AJ13" s="120" t="str">
        <f t="shared" si="23"/>
        <v/>
      </c>
      <c r="AK13" s="120" t="str">
        <f t="shared" si="24"/>
        <v/>
      </c>
      <c r="AL13" s="120">
        <f t="shared" si="25"/>
        <v>0</v>
      </c>
      <c r="AM13" s="120">
        <f t="shared" si="26"/>
        <v>0</v>
      </c>
      <c r="AN13" s="120">
        <f t="shared" si="27"/>
        <v>0</v>
      </c>
      <c r="AO13" s="120">
        <f t="shared" si="28"/>
        <v>0</v>
      </c>
      <c r="AP13" s="120">
        <f t="shared" si="29"/>
        <v>0</v>
      </c>
      <c r="AQ13" s="120">
        <f t="shared" si="30"/>
        <v>0</v>
      </c>
      <c r="AR13" s="120">
        <f t="shared" si="31"/>
        <v>0</v>
      </c>
    </row>
    <row r="14" spans="1:44" x14ac:dyDescent="0.15">
      <c r="A14" s="307">
        <v>11</v>
      </c>
      <c r="B14" s="282"/>
      <c r="C14" s="282"/>
      <c r="D14" s="606"/>
      <c r="E14" s="607"/>
      <c r="F14" s="607"/>
      <c r="G14" s="282"/>
      <c r="H14" s="610"/>
      <c r="I14" s="61">
        <f t="shared" si="11"/>
        <v>0</v>
      </c>
      <c r="J14" s="55">
        <f t="shared" si="12"/>
        <v>0</v>
      </c>
      <c r="K14" s="55">
        <f t="shared" si="13"/>
        <v>0</v>
      </c>
      <c r="M14" s="120">
        <f t="shared" si="0"/>
        <v>0</v>
      </c>
      <c r="N14" s="120">
        <f t="shared" si="14"/>
        <v>0</v>
      </c>
      <c r="O14" s="120" t="str">
        <f t="shared" si="1"/>
        <v/>
      </c>
      <c r="P14" s="294">
        <f t="shared" si="15"/>
        <v>0</v>
      </c>
      <c r="Q14" s="120">
        <v>11</v>
      </c>
      <c r="R14" s="120">
        <f t="shared" si="2"/>
        <v>50</v>
      </c>
      <c r="S14" s="122">
        <v>1</v>
      </c>
      <c r="T14" s="122">
        <f t="shared" si="16"/>
        <v>0</v>
      </c>
      <c r="U14" s="120">
        <f>SUMIF(P14:P$53,P14,S14:S$53)</f>
        <v>40</v>
      </c>
      <c r="V14" s="120">
        <f t="shared" si="3"/>
        <v>0</v>
      </c>
      <c r="W14" s="120">
        <f t="shared" si="17"/>
        <v>1</v>
      </c>
      <c r="X14" s="120">
        <f t="shared" si="18"/>
        <v>0</v>
      </c>
      <c r="Y14" s="120">
        <f t="shared" si="19"/>
        <v>0</v>
      </c>
      <c r="Z14" s="299" t="str">
        <f t="shared" si="20"/>
        <v/>
      </c>
      <c r="AA14" s="268">
        <f t="shared" si="4"/>
        <v>0</v>
      </c>
      <c r="AB14" s="268" t="str">
        <f t="shared" si="5"/>
        <v/>
      </c>
      <c r="AC14" s="268" t="str">
        <f t="shared" si="6"/>
        <v/>
      </c>
      <c r="AD14" s="268" t="str">
        <f t="shared" si="7"/>
        <v/>
      </c>
      <c r="AE14" s="268" t="str">
        <f t="shared" si="21"/>
        <v/>
      </c>
      <c r="AF14" s="330">
        <f t="shared" si="22"/>
        <v>0</v>
      </c>
      <c r="AG14" s="275" t="str">
        <f t="shared" si="8"/>
        <v/>
      </c>
      <c r="AH14" s="275" t="str">
        <f t="shared" si="9"/>
        <v/>
      </c>
      <c r="AI14" s="301" t="str">
        <f t="shared" si="10"/>
        <v/>
      </c>
      <c r="AJ14" s="120" t="str">
        <f t="shared" si="23"/>
        <v/>
      </c>
      <c r="AK14" s="120" t="str">
        <f t="shared" si="24"/>
        <v/>
      </c>
      <c r="AL14" s="120">
        <f t="shared" si="25"/>
        <v>0</v>
      </c>
      <c r="AM14" s="120">
        <f t="shared" si="26"/>
        <v>0</v>
      </c>
      <c r="AN14" s="120">
        <f t="shared" si="27"/>
        <v>0</v>
      </c>
      <c r="AO14" s="120">
        <f t="shared" si="28"/>
        <v>0</v>
      </c>
      <c r="AP14" s="120">
        <f t="shared" si="29"/>
        <v>0</v>
      </c>
      <c r="AQ14" s="120">
        <f t="shared" si="30"/>
        <v>0</v>
      </c>
      <c r="AR14" s="120">
        <f t="shared" si="31"/>
        <v>0</v>
      </c>
    </row>
    <row r="15" spans="1:44" x14ac:dyDescent="0.15">
      <c r="A15" s="307">
        <v>12</v>
      </c>
      <c r="B15" s="282"/>
      <c r="C15" s="282"/>
      <c r="D15" s="606"/>
      <c r="E15" s="607"/>
      <c r="F15" s="607"/>
      <c r="G15" s="282"/>
      <c r="H15" s="610"/>
      <c r="I15" s="61">
        <f t="shared" si="11"/>
        <v>0</v>
      </c>
      <c r="J15" s="55">
        <f t="shared" si="12"/>
        <v>0</v>
      </c>
      <c r="K15" s="55">
        <f t="shared" si="13"/>
        <v>0</v>
      </c>
      <c r="M15" s="120">
        <f t="shared" si="0"/>
        <v>0</v>
      </c>
      <c r="N15" s="120">
        <f t="shared" si="14"/>
        <v>0</v>
      </c>
      <c r="O15" s="120" t="str">
        <f t="shared" si="1"/>
        <v/>
      </c>
      <c r="P15" s="294">
        <f t="shared" si="15"/>
        <v>0</v>
      </c>
      <c r="Q15" s="120">
        <v>12</v>
      </c>
      <c r="R15" s="120">
        <f t="shared" si="2"/>
        <v>50</v>
      </c>
      <c r="S15" s="122">
        <v>1</v>
      </c>
      <c r="T15" s="122">
        <f t="shared" si="16"/>
        <v>0</v>
      </c>
      <c r="U15" s="120">
        <f>SUMIF(P15:P$53,P15,S15:S$53)</f>
        <v>39</v>
      </c>
      <c r="V15" s="120">
        <f t="shared" si="3"/>
        <v>0</v>
      </c>
      <c r="W15" s="120">
        <f t="shared" si="17"/>
        <v>1</v>
      </c>
      <c r="X15" s="120">
        <f t="shared" si="18"/>
        <v>0</v>
      </c>
      <c r="Y15" s="120">
        <f t="shared" si="19"/>
        <v>0</v>
      </c>
      <c r="Z15" s="299" t="str">
        <f t="shared" si="20"/>
        <v/>
      </c>
      <c r="AA15" s="268">
        <f t="shared" si="4"/>
        <v>0</v>
      </c>
      <c r="AB15" s="268" t="str">
        <f t="shared" si="5"/>
        <v/>
      </c>
      <c r="AC15" s="268" t="str">
        <f t="shared" si="6"/>
        <v/>
      </c>
      <c r="AD15" s="268" t="str">
        <f t="shared" si="7"/>
        <v/>
      </c>
      <c r="AE15" s="268" t="str">
        <f t="shared" si="21"/>
        <v/>
      </c>
      <c r="AF15" s="330">
        <f t="shared" si="22"/>
        <v>0</v>
      </c>
      <c r="AG15" s="275" t="str">
        <f t="shared" si="8"/>
        <v/>
      </c>
      <c r="AH15" s="275" t="str">
        <f t="shared" si="9"/>
        <v/>
      </c>
      <c r="AI15" s="301" t="str">
        <f t="shared" si="10"/>
        <v/>
      </c>
      <c r="AJ15" s="120" t="str">
        <f t="shared" si="23"/>
        <v/>
      </c>
      <c r="AK15" s="120" t="str">
        <f t="shared" si="24"/>
        <v/>
      </c>
      <c r="AL15" s="120">
        <f t="shared" si="25"/>
        <v>0</v>
      </c>
      <c r="AM15" s="120">
        <f t="shared" si="26"/>
        <v>0</v>
      </c>
      <c r="AN15" s="120">
        <f t="shared" si="27"/>
        <v>0</v>
      </c>
      <c r="AO15" s="120">
        <f t="shared" si="28"/>
        <v>0</v>
      </c>
      <c r="AP15" s="120">
        <f t="shared" si="29"/>
        <v>0</v>
      </c>
      <c r="AQ15" s="120">
        <f t="shared" si="30"/>
        <v>0</v>
      </c>
      <c r="AR15" s="120">
        <f t="shared" si="31"/>
        <v>0</v>
      </c>
    </row>
    <row r="16" spans="1:44" x14ac:dyDescent="0.15">
      <c r="A16" s="307">
        <v>13</v>
      </c>
      <c r="B16" s="282"/>
      <c r="C16" s="282"/>
      <c r="D16" s="606"/>
      <c r="E16" s="607"/>
      <c r="F16" s="607"/>
      <c r="G16" s="282"/>
      <c r="H16" s="610"/>
      <c r="I16" s="61">
        <f t="shared" si="11"/>
        <v>0</v>
      </c>
      <c r="J16" s="55">
        <f t="shared" si="12"/>
        <v>0</v>
      </c>
      <c r="K16" s="55">
        <f t="shared" si="13"/>
        <v>0</v>
      </c>
      <c r="M16" s="120">
        <f t="shared" si="0"/>
        <v>0</v>
      </c>
      <c r="N16" s="120">
        <f t="shared" si="14"/>
        <v>0</v>
      </c>
      <c r="O16" s="120" t="str">
        <f t="shared" si="1"/>
        <v/>
      </c>
      <c r="P16" s="294">
        <f t="shared" si="15"/>
        <v>0</v>
      </c>
      <c r="Q16" s="120">
        <v>13</v>
      </c>
      <c r="R16" s="120">
        <f t="shared" si="2"/>
        <v>50</v>
      </c>
      <c r="S16" s="122">
        <v>1</v>
      </c>
      <c r="T16" s="122">
        <f t="shared" si="16"/>
        <v>0</v>
      </c>
      <c r="U16" s="120">
        <f>SUMIF(P16:P$53,P16,S16:S$53)</f>
        <v>38</v>
      </c>
      <c r="V16" s="120">
        <f t="shared" si="3"/>
        <v>0</v>
      </c>
      <c r="W16" s="120">
        <f t="shared" si="17"/>
        <v>1</v>
      </c>
      <c r="X16" s="120">
        <f t="shared" si="18"/>
        <v>0</v>
      </c>
      <c r="Y16" s="120">
        <f t="shared" si="19"/>
        <v>0</v>
      </c>
      <c r="Z16" s="299" t="str">
        <f t="shared" si="20"/>
        <v/>
      </c>
      <c r="AA16" s="268">
        <f t="shared" si="4"/>
        <v>0</v>
      </c>
      <c r="AB16" s="268" t="str">
        <f t="shared" si="5"/>
        <v/>
      </c>
      <c r="AC16" s="268" t="str">
        <f t="shared" si="6"/>
        <v/>
      </c>
      <c r="AD16" s="268" t="str">
        <f t="shared" si="7"/>
        <v/>
      </c>
      <c r="AE16" s="268" t="str">
        <f t="shared" si="21"/>
        <v/>
      </c>
      <c r="AF16" s="330">
        <f t="shared" si="22"/>
        <v>0</v>
      </c>
      <c r="AG16" s="275" t="str">
        <f t="shared" si="8"/>
        <v/>
      </c>
      <c r="AH16" s="275" t="str">
        <f t="shared" si="9"/>
        <v/>
      </c>
      <c r="AI16" s="301" t="str">
        <f t="shared" si="10"/>
        <v/>
      </c>
      <c r="AJ16" s="120" t="str">
        <f t="shared" si="23"/>
        <v/>
      </c>
      <c r="AK16" s="120" t="str">
        <f t="shared" si="24"/>
        <v/>
      </c>
      <c r="AL16" s="120">
        <f t="shared" si="25"/>
        <v>0</v>
      </c>
      <c r="AM16" s="120">
        <f t="shared" si="26"/>
        <v>0</v>
      </c>
      <c r="AN16" s="120">
        <f t="shared" si="27"/>
        <v>0</v>
      </c>
      <c r="AO16" s="120">
        <f t="shared" si="28"/>
        <v>0</v>
      </c>
      <c r="AP16" s="120">
        <f t="shared" si="29"/>
        <v>0</v>
      </c>
      <c r="AQ16" s="120">
        <f t="shared" si="30"/>
        <v>0</v>
      </c>
      <c r="AR16" s="120">
        <f t="shared" si="31"/>
        <v>0</v>
      </c>
    </row>
    <row r="17" spans="1:44" x14ac:dyDescent="0.15">
      <c r="A17" s="307">
        <v>14</v>
      </c>
      <c r="B17" s="282"/>
      <c r="C17" s="282"/>
      <c r="D17" s="606"/>
      <c r="E17" s="607"/>
      <c r="F17" s="607"/>
      <c r="G17" s="282"/>
      <c r="H17" s="610"/>
      <c r="I17" s="61">
        <f t="shared" si="11"/>
        <v>0</v>
      </c>
      <c r="J17" s="55">
        <f t="shared" si="12"/>
        <v>0</v>
      </c>
      <c r="K17" s="55">
        <f t="shared" si="13"/>
        <v>0</v>
      </c>
      <c r="M17" s="120">
        <f t="shared" si="0"/>
        <v>0</v>
      </c>
      <c r="N17" s="120">
        <f t="shared" si="14"/>
        <v>0</v>
      </c>
      <c r="O17" s="120" t="str">
        <f t="shared" si="1"/>
        <v/>
      </c>
      <c r="P17" s="294">
        <f t="shared" si="15"/>
        <v>0</v>
      </c>
      <c r="Q17" s="120">
        <v>14</v>
      </c>
      <c r="R17" s="120">
        <f t="shared" si="2"/>
        <v>50</v>
      </c>
      <c r="S17" s="122">
        <v>1</v>
      </c>
      <c r="T17" s="122">
        <f t="shared" si="16"/>
        <v>0</v>
      </c>
      <c r="U17" s="120">
        <f>SUMIF(P17:P$53,P17,S17:S$53)</f>
        <v>37</v>
      </c>
      <c r="V17" s="120">
        <f t="shared" si="3"/>
        <v>0</v>
      </c>
      <c r="W17" s="120">
        <f t="shared" si="17"/>
        <v>1</v>
      </c>
      <c r="X17" s="120">
        <f t="shared" si="18"/>
        <v>0</v>
      </c>
      <c r="Y17" s="120">
        <f t="shared" si="19"/>
        <v>0</v>
      </c>
      <c r="Z17" s="299" t="str">
        <f t="shared" si="20"/>
        <v/>
      </c>
      <c r="AA17" s="268">
        <f t="shared" si="4"/>
        <v>0</v>
      </c>
      <c r="AB17" s="268" t="str">
        <f t="shared" si="5"/>
        <v/>
      </c>
      <c r="AC17" s="268" t="str">
        <f t="shared" si="6"/>
        <v/>
      </c>
      <c r="AD17" s="268" t="str">
        <f t="shared" si="7"/>
        <v/>
      </c>
      <c r="AE17" s="268" t="str">
        <f t="shared" si="21"/>
        <v/>
      </c>
      <c r="AF17" s="330">
        <f t="shared" si="22"/>
        <v>0</v>
      </c>
      <c r="AG17" s="275" t="str">
        <f t="shared" si="8"/>
        <v/>
      </c>
      <c r="AH17" s="275" t="str">
        <f t="shared" si="9"/>
        <v/>
      </c>
      <c r="AI17" s="301" t="str">
        <f t="shared" si="10"/>
        <v/>
      </c>
      <c r="AJ17" s="120" t="str">
        <f t="shared" si="23"/>
        <v/>
      </c>
      <c r="AK17" s="120" t="str">
        <f t="shared" si="24"/>
        <v/>
      </c>
      <c r="AL17" s="120">
        <f t="shared" si="25"/>
        <v>0</v>
      </c>
      <c r="AM17" s="120">
        <f t="shared" si="26"/>
        <v>0</v>
      </c>
      <c r="AN17" s="120">
        <f t="shared" si="27"/>
        <v>0</v>
      </c>
      <c r="AO17" s="120">
        <f t="shared" si="28"/>
        <v>0</v>
      </c>
      <c r="AP17" s="120">
        <f t="shared" si="29"/>
        <v>0</v>
      </c>
      <c r="AQ17" s="120">
        <f t="shared" si="30"/>
        <v>0</v>
      </c>
      <c r="AR17" s="120">
        <f t="shared" si="31"/>
        <v>0</v>
      </c>
    </row>
    <row r="18" spans="1:44" ht="14" thickBot="1" x14ac:dyDescent="0.2">
      <c r="A18" s="307">
        <v>15</v>
      </c>
      <c r="B18" s="282"/>
      <c r="C18" s="282"/>
      <c r="D18" s="606"/>
      <c r="E18" s="607"/>
      <c r="F18" s="607"/>
      <c r="G18" s="282"/>
      <c r="H18" s="610"/>
      <c r="I18" s="61">
        <f t="shared" si="11"/>
        <v>0</v>
      </c>
      <c r="J18" s="55">
        <f t="shared" si="12"/>
        <v>0</v>
      </c>
      <c r="K18" s="55">
        <f t="shared" si="13"/>
        <v>0</v>
      </c>
      <c r="M18" s="120">
        <f t="shared" si="0"/>
        <v>0</v>
      </c>
      <c r="N18" s="120">
        <f t="shared" si="14"/>
        <v>0</v>
      </c>
      <c r="O18" s="120" t="str">
        <f t="shared" si="1"/>
        <v/>
      </c>
      <c r="P18" s="294">
        <f t="shared" si="15"/>
        <v>0</v>
      </c>
      <c r="Q18" s="120">
        <v>15</v>
      </c>
      <c r="R18" s="120">
        <f t="shared" si="2"/>
        <v>50</v>
      </c>
      <c r="S18" s="122">
        <v>1</v>
      </c>
      <c r="T18" s="122">
        <f t="shared" si="16"/>
        <v>0</v>
      </c>
      <c r="U18" s="120">
        <f>SUMIF(P18:P$53,P18,S18:S$53)</f>
        <v>36</v>
      </c>
      <c r="V18" s="120">
        <f t="shared" si="3"/>
        <v>0</v>
      </c>
      <c r="W18" s="120">
        <f t="shared" si="17"/>
        <v>1</v>
      </c>
      <c r="X18" s="120">
        <f t="shared" si="18"/>
        <v>0</v>
      </c>
      <c r="Y18" s="120">
        <f t="shared" si="19"/>
        <v>0</v>
      </c>
      <c r="Z18" s="302" t="str">
        <f t="shared" si="20"/>
        <v/>
      </c>
      <c r="AA18" s="303">
        <f t="shared" si="4"/>
        <v>0</v>
      </c>
      <c r="AB18" s="303" t="str">
        <f t="shared" si="5"/>
        <v/>
      </c>
      <c r="AC18" s="303" t="str">
        <f t="shared" si="6"/>
        <v/>
      </c>
      <c r="AD18" s="303" t="str">
        <f t="shared" si="7"/>
        <v/>
      </c>
      <c r="AE18" s="303" t="str">
        <f t="shared" si="21"/>
        <v/>
      </c>
      <c r="AF18" s="331">
        <f t="shared" si="22"/>
        <v>0</v>
      </c>
      <c r="AG18" s="304" t="str">
        <f t="shared" si="8"/>
        <v/>
      </c>
      <c r="AH18" s="304" t="str">
        <f t="shared" si="9"/>
        <v/>
      </c>
      <c r="AI18" s="305" t="str">
        <f t="shared" si="10"/>
        <v/>
      </c>
      <c r="AJ18" s="120" t="str">
        <f t="shared" si="23"/>
        <v/>
      </c>
      <c r="AK18" s="120" t="str">
        <f t="shared" si="24"/>
        <v/>
      </c>
      <c r="AL18" s="120">
        <f t="shared" si="25"/>
        <v>0</v>
      </c>
      <c r="AM18" s="120">
        <f t="shared" si="26"/>
        <v>0</v>
      </c>
      <c r="AN18" s="120">
        <f t="shared" si="27"/>
        <v>0</v>
      </c>
      <c r="AO18" s="120">
        <f t="shared" si="28"/>
        <v>0</v>
      </c>
      <c r="AP18" s="120">
        <f t="shared" si="29"/>
        <v>0</v>
      </c>
      <c r="AQ18" s="120">
        <f t="shared" si="30"/>
        <v>0</v>
      </c>
      <c r="AR18" s="120">
        <f t="shared" si="31"/>
        <v>0</v>
      </c>
    </row>
    <row r="19" spans="1:44" x14ac:dyDescent="0.15">
      <c r="A19" s="307">
        <v>16</v>
      </c>
      <c r="B19" s="282"/>
      <c r="C19" s="282"/>
      <c r="D19" s="606"/>
      <c r="E19" s="607"/>
      <c r="F19" s="607"/>
      <c r="G19" s="282"/>
      <c r="H19" s="610"/>
      <c r="I19" s="61">
        <f t="shared" si="11"/>
        <v>0</v>
      </c>
      <c r="J19" s="55">
        <f t="shared" si="12"/>
        <v>0</v>
      </c>
      <c r="K19" s="55">
        <f t="shared" si="13"/>
        <v>0</v>
      </c>
      <c r="M19" s="120">
        <f t="shared" si="0"/>
        <v>0</v>
      </c>
      <c r="N19" s="120">
        <f t="shared" si="14"/>
        <v>0</v>
      </c>
      <c r="O19" s="120" t="str">
        <f t="shared" si="1"/>
        <v/>
      </c>
      <c r="P19" s="294">
        <f t="shared" si="15"/>
        <v>0</v>
      </c>
      <c r="Q19" s="120">
        <v>16</v>
      </c>
      <c r="R19" s="120">
        <f t="shared" si="2"/>
        <v>50</v>
      </c>
      <c r="S19" s="122">
        <v>1</v>
      </c>
      <c r="T19" s="122">
        <f t="shared" si="16"/>
        <v>0</v>
      </c>
      <c r="U19" s="120">
        <f>SUMIF(P19:P$53,P19,S19:S$53)</f>
        <v>35</v>
      </c>
      <c r="V19" s="120">
        <f t="shared" si="3"/>
        <v>0</v>
      </c>
      <c r="W19" s="120">
        <f t="shared" si="17"/>
        <v>1</v>
      </c>
      <c r="X19" s="120">
        <f t="shared" si="18"/>
        <v>0</v>
      </c>
      <c r="Y19" s="120">
        <f t="shared" si="19"/>
        <v>0</v>
      </c>
      <c r="Z19" s="120" t="str">
        <f t="shared" si="20"/>
        <v/>
      </c>
      <c r="AA19" s="120">
        <f t="shared" si="4"/>
        <v>0</v>
      </c>
      <c r="AB19" s="268" t="str">
        <f t="shared" ref="AB19:AB53" si="32">IF(AA19=0,"",LOOKUP(AA19,A$4:A$53,C$4:C$53))</f>
        <v/>
      </c>
      <c r="AC19" s="268" t="str">
        <f t="shared" si="6"/>
        <v/>
      </c>
      <c r="AD19" s="268" t="str">
        <f t="shared" si="7"/>
        <v/>
      </c>
      <c r="AE19" s="268" t="str">
        <f t="shared" ref="AE19:AE53" si="33">IF(AC19=AD19,"",AD19)</f>
        <v/>
      </c>
      <c r="AF19" s="330">
        <f t="shared" si="22"/>
        <v>0</v>
      </c>
      <c r="AG19" s="275" t="str">
        <f t="shared" si="8"/>
        <v/>
      </c>
      <c r="AH19" s="275" t="str">
        <f t="shared" si="9"/>
        <v/>
      </c>
      <c r="AI19" s="275" t="str">
        <f t="shared" si="10"/>
        <v/>
      </c>
      <c r="AJ19" s="120" t="str">
        <f t="shared" si="23"/>
        <v/>
      </c>
      <c r="AK19" s="120" t="str">
        <f t="shared" si="24"/>
        <v/>
      </c>
      <c r="AL19" s="120">
        <f t="shared" si="25"/>
        <v>0</v>
      </c>
      <c r="AM19" s="120">
        <f t="shared" si="26"/>
        <v>0</v>
      </c>
      <c r="AN19" s="120">
        <f t="shared" si="27"/>
        <v>0</v>
      </c>
      <c r="AO19" s="120">
        <f t="shared" si="28"/>
        <v>0</v>
      </c>
      <c r="AP19" s="120">
        <f t="shared" si="29"/>
        <v>0</v>
      </c>
      <c r="AQ19" s="120">
        <f t="shared" si="30"/>
        <v>0</v>
      </c>
      <c r="AR19" s="120">
        <f t="shared" si="31"/>
        <v>0</v>
      </c>
    </row>
    <row r="20" spans="1:44" x14ac:dyDescent="0.15">
      <c r="A20" s="307">
        <v>17</v>
      </c>
      <c r="B20" s="282"/>
      <c r="C20" s="282"/>
      <c r="D20" s="606"/>
      <c r="E20" s="607"/>
      <c r="F20" s="607"/>
      <c r="G20" s="282"/>
      <c r="H20" s="610"/>
      <c r="I20" s="61">
        <f t="shared" si="11"/>
        <v>0</v>
      </c>
      <c r="J20" s="55">
        <f t="shared" si="12"/>
        <v>0</v>
      </c>
      <c r="K20" s="55">
        <f t="shared" si="13"/>
        <v>0</v>
      </c>
      <c r="M20" s="120">
        <f t="shared" si="0"/>
        <v>0</v>
      </c>
      <c r="N20" s="120">
        <f t="shared" si="14"/>
        <v>0</v>
      </c>
      <c r="O20" s="120" t="str">
        <f t="shared" si="1"/>
        <v/>
      </c>
      <c r="P20" s="294">
        <f t="shared" si="15"/>
        <v>0</v>
      </c>
      <c r="Q20" s="120">
        <v>17</v>
      </c>
      <c r="R20" s="120">
        <f t="shared" si="2"/>
        <v>50</v>
      </c>
      <c r="S20" s="122">
        <v>1</v>
      </c>
      <c r="T20" s="122">
        <f t="shared" si="16"/>
        <v>0</v>
      </c>
      <c r="U20" s="120">
        <f>SUMIF(P20:P$53,P20,S20:S$53)</f>
        <v>34</v>
      </c>
      <c r="V20" s="120">
        <f t="shared" si="3"/>
        <v>0</v>
      </c>
      <c r="W20" s="120">
        <f t="shared" si="17"/>
        <v>1</v>
      </c>
      <c r="X20" s="120">
        <f t="shared" si="18"/>
        <v>0</v>
      </c>
      <c r="Y20" s="120">
        <f t="shared" si="19"/>
        <v>0</v>
      </c>
      <c r="Z20" s="120" t="str">
        <f t="shared" si="20"/>
        <v/>
      </c>
      <c r="AA20" s="120">
        <f t="shared" si="4"/>
        <v>0</v>
      </c>
      <c r="AB20" s="268" t="str">
        <f t="shared" si="32"/>
        <v/>
      </c>
      <c r="AC20" s="268" t="str">
        <f t="shared" si="6"/>
        <v/>
      </c>
      <c r="AD20" s="268" t="str">
        <f t="shared" si="7"/>
        <v/>
      </c>
      <c r="AE20" s="268" t="str">
        <f t="shared" si="33"/>
        <v/>
      </c>
      <c r="AF20" s="330">
        <f t="shared" si="22"/>
        <v>0</v>
      </c>
      <c r="AG20" s="275" t="str">
        <f t="shared" si="8"/>
        <v/>
      </c>
      <c r="AH20" s="275" t="str">
        <f t="shared" si="9"/>
        <v/>
      </c>
      <c r="AI20" s="275" t="str">
        <f t="shared" si="10"/>
        <v/>
      </c>
      <c r="AJ20" s="120" t="str">
        <f t="shared" si="23"/>
        <v/>
      </c>
      <c r="AK20" s="120" t="str">
        <f t="shared" si="24"/>
        <v/>
      </c>
      <c r="AL20" s="120">
        <f t="shared" si="25"/>
        <v>0</v>
      </c>
      <c r="AM20" s="120">
        <f t="shared" si="26"/>
        <v>0</v>
      </c>
      <c r="AN20" s="120">
        <f t="shared" si="27"/>
        <v>0</v>
      </c>
      <c r="AO20" s="120">
        <f t="shared" si="28"/>
        <v>0</v>
      </c>
      <c r="AP20" s="120">
        <f t="shared" si="29"/>
        <v>0</v>
      </c>
      <c r="AQ20" s="120">
        <f t="shared" si="30"/>
        <v>0</v>
      </c>
      <c r="AR20" s="120">
        <f t="shared" si="31"/>
        <v>0</v>
      </c>
    </row>
    <row r="21" spans="1:44" x14ac:dyDescent="0.15">
      <c r="A21" s="307">
        <v>18</v>
      </c>
      <c r="B21" s="282"/>
      <c r="C21" s="282"/>
      <c r="D21" s="606"/>
      <c r="E21" s="607"/>
      <c r="F21" s="607"/>
      <c r="G21" s="282"/>
      <c r="H21" s="610"/>
      <c r="I21" s="61">
        <f t="shared" si="11"/>
        <v>0</v>
      </c>
      <c r="J21" s="55">
        <f t="shared" si="12"/>
        <v>0</v>
      </c>
      <c r="K21" s="55">
        <f t="shared" si="13"/>
        <v>0</v>
      </c>
      <c r="M21" s="120">
        <f t="shared" si="0"/>
        <v>0</v>
      </c>
      <c r="N21" s="120">
        <f t="shared" si="14"/>
        <v>0</v>
      </c>
      <c r="O21" s="120" t="str">
        <f t="shared" si="1"/>
        <v/>
      </c>
      <c r="P21" s="294">
        <f t="shared" si="15"/>
        <v>0</v>
      </c>
      <c r="Q21" s="120">
        <v>18</v>
      </c>
      <c r="R21" s="120">
        <f t="shared" si="2"/>
        <v>50</v>
      </c>
      <c r="S21" s="122">
        <v>1</v>
      </c>
      <c r="T21" s="122">
        <f t="shared" si="16"/>
        <v>0</v>
      </c>
      <c r="U21" s="120">
        <f>SUMIF(P21:P$53,P21,S21:S$53)</f>
        <v>33</v>
      </c>
      <c r="V21" s="120">
        <f t="shared" si="3"/>
        <v>0</v>
      </c>
      <c r="W21" s="120">
        <f t="shared" si="17"/>
        <v>1</v>
      </c>
      <c r="X21" s="120">
        <f t="shared" si="18"/>
        <v>0</v>
      </c>
      <c r="Y21" s="120">
        <f t="shared" si="19"/>
        <v>0</v>
      </c>
      <c r="Z21" s="120" t="str">
        <f t="shared" si="20"/>
        <v/>
      </c>
      <c r="AA21" s="120">
        <f t="shared" si="4"/>
        <v>0</v>
      </c>
      <c r="AB21" s="268" t="str">
        <f t="shared" si="32"/>
        <v/>
      </c>
      <c r="AC21" s="268" t="str">
        <f t="shared" si="6"/>
        <v/>
      </c>
      <c r="AD21" s="268" t="str">
        <f t="shared" si="7"/>
        <v/>
      </c>
      <c r="AE21" s="268" t="str">
        <f t="shared" si="33"/>
        <v/>
      </c>
      <c r="AF21" s="330">
        <f t="shared" si="22"/>
        <v>0</v>
      </c>
      <c r="AG21" s="275" t="str">
        <f t="shared" si="8"/>
        <v/>
      </c>
      <c r="AH21" s="275" t="str">
        <f t="shared" si="9"/>
        <v/>
      </c>
      <c r="AI21" s="275" t="str">
        <f t="shared" si="10"/>
        <v/>
      </c>
      <c r="AJ21" s="120" t="str">
        <f t="shared" si="23"/>
        <v/>
      </c>
      <c r="AK21" s="120" t="str">
        <f t="shared" si="24"/>
        <v/>
      </c>
      <c r="AL21" s="120">
        <f t="shared" si="25"/>
        <v>0</v>
      </c>
      <c r="AM21" s="120">
        <f t="shared" si="26"/>
        <v>0</v>
      </c>
      <c r="AN21" s="120">
        <f t="shared" si="27"/>
        <v>0</v>
      </c>
      <c r="AO21" s="120">
        <f t="shared" si="28"/>
        <v>0</v>
      </c>
      <c r="AP21" s="120">
        <f t="shared" si="29"/>
        <v>0</v>
      </c>
      <c r="AQ21" s="120">
        <f t="shared" si="30"/>
        <v>0</v>
      </c>
      <c r="AR21" s="120">
        <f t="shared" si="31"/>
        <v>0</v>
      </c>
    </row>
    <row r="22" spans="1:44" x14ac:dyDescent="0.15">
      <c r="A22" s="307">
        <v>19</v>
      </c>
      <c r="B22" s="282"/>
      <c r="C22" s="282"/>
      <c r="D22" s="606"/>
      <c r="E22" s="607"/>
      <c r="F22" s="607"/>
      <c r="G22" s="282"/>
      <c r="H22" s="610"/>
      <c r="I22" s="61">
        <f t="shared" si="11"/>
        <v>0</v>
      </c>
      <c r="J22" s="55">
        <f t="shared" si="12"/>
        <v>0</v>
      </c>
      <c r="K22" s="55">
        <f t="shared" si="13"/>
        <v>0</v>
      </c>
      <c r="M22" s="120">
        <f t="shared" si="0"/>
        <v>0</v>
      </c>
      <c r="N22" s="120">
        <f t="shared" si="14"/>
        <v>0</v>
      </c>
      <c r="O22" s="120" t="str">
        <f t="shared" si="1"/>
        <v/>
      </c>
      <c r="P22" s="294">
        <f t="shared" si="15"/>
        <v>0</v>
      </c>
      <c r="Q22" s="120">
        <v>19</v>
      </c>
      <c r="R22" s="120">
        <f t="shared" si="2"/>
        <v>50</v>
      </c>
      <c r="S22" s="122">
        <v>1</v>
      </c>
      <c r="T22" s="122">
        <f t="shared" si="16"/>
        <v>0</v>
      </c>
      <c r="U22" s="120">
        <f>SUMIF(P22:P$53,P22,S22:S$53)</f>
        <v>32</v>
      </c>
      <c r="V22" s="120">
        <f t="shared" si="3"/>
        <v>0</v>
      </c>
      <c r="W22" s="120">
        <f t="shared" si="17"/>
        <v>1</v>
      </c>
      <c r="X22" s="120">
        <f t="shared" si="18"/>
        <v>0</v>
      </c>
      <c r="Y22" s="120">
        <f t="shared" si="19"/>
        <v>0</v>
      </c>
      <c r="Z22" s="120"/>
      <c r="AA22" s="120">
        <f t="shared" si="4"/>
        <v>0</v>
      </c>
      <c r="AB22" s="268" t="str">
        <f t="shared" si="32"/>
        <v/>
      </c>
      <c r="AC22" s="268" t="str">
        <f t="shared" si="6"/>
        <v/>
      </c>
      <c r="AD22" s="268" t="str">
        <f t="shared" si="7"/>
        <v/>
      </c>
      <c r="AE22" s="268" t="str">
        <f t="shared" si="33"/>
        <v/>
      </c>
      <c r="AF22" s="330">
        <f t="shared" si="22"/>
        <v>0</v>
      </c>
      <c r="AG22" s="275" t="str">
        <f t="shared" si="8"/>
        <v/>
      </c>
      <c r="AH22" s="275" t="str">
        <f t="shared" si="9"/>
        <v/>
      </c>
      <c r="AI22" s="275" t="str">
        <f t="shared" si="10"/>
        <v/>
      </c>
      <c r="AJ22" s="120" t="str">
        <f t="shared" si="23"/>
        <v/>
      </c>
      <c r="AK22" s="120" t="str">
        <f t="shared" si="24"/>
        <v/>
      </c>
      <c r="AL22" s="120">
        <f t="shared" si="25"/>
        <v>0</v>
      </c>
      <c r="AM22" s="120">
        <f t="shared" si="26"/>
        <v>0</v>
      </c>
      <c r="AN22" s="120">
        <f t="shared" si="27"/>
        <v>0</v>
      </c>
      <c r="AO22" s="120">
        <f t="shared" si="28"/>
        <v>0</v>
      </c>
      <c r="AP22" s="120">
        <f t="shared" si="29"/>
        <v>0</v>
      </c>
      <c r="AQ22" s="120">
        <f t="shared" si="30"/>
        <v>0</v>
      </c>
      <c r="AR22" s="120">
        <f t="shared" si="31"/>
        <v>0</v>
      </c>
    </row>
    <row r="23" spans="1:44" x14ac:dyDescent="0.15">
      <c r="A23" s="307">
        <v>20</v>
      </c>
      <c r="B23" s="282"/>
      <c r="C23" s="282"/>
      <c r="D23" s="606"/>
      <c r="E23" s="607"/>
      <c r="F23" s="607"/>
      <c r="G23" s="282"/>
      <c r="H23" s="610"/>
      <c r="I23" s="61">
        <f t="shared" si="11"/>
        <v>0</v>
      </c>
      <c r="J23" s="55">
        <f t="shared" si="12"/>
        <v>0</v>
      </c>
      <c r="K23" s="55">
        <f t="shared" si="13"/>
        <v>0</v>
      </c>
      <c r="M23" s="120">
        <f t="shared" si="0"/>
        <v>0</v>
      </c>
      <c r="N23" s="120">
        <f t="shared" si="14"/>
        <v>0</v>
      </c>
      <c r="O23" s="120" t="str">
        <f t="shared" si="1"/>
        <v/>
      </c>
      <c r="P23" s="294">
        <f t="shared" si="15"/>
        <v>0</v>
      </c>
      <c r="Q23" s="120">
        <v>20</v>
      </c>
      <c r="R23" s="120">
        <f t="shared" si="2"/>
        <v>50</v>
      </c>
      <c r="S23" s="122">
        <v>1</v>
      </c>
      <c r="T23" s="122">
        <f t="shared" si="16"/>
        <v>0</v>
      </c>
      <c r="U23" s="120">
        <f>SUMIF(P23:P$53,P23,S23:S$53)</f>
        <v>31</v>
      </c>
      <c r="V23" s="120">
        <f t="shared" si="3"/>
        <v>0</v>
      </c>
      <c r="W23" s="120">
        <f t="shared" si="17"/>
        <v>1</v>
      </c>
      <c r="X23" s="120">
        <f t="shared" si="18"/>
        <v>0</v>
      </c>
      <c r="Y23" s="120">
        <f t="shared" si="19"/>
        <v>0</v>
      </c>
      <c r="Z23" s="120"/>
      <c r="AA23" s="120">
        <f t="shared" si="4"/>
        <v>0</v>
      </c>
      <c r="AB23" s="268" t="str">
        <f t="shared" si="32"/>
        <v/>
      </c>
      <c r="AC23" s="268" t="str">
        <f t="shared" si="6"/>
        <v/>
      </c>
      <c r="AD23" s="268" t="str">
        <f t="shared" si="7"/>
        <v/>
      </c>
      <c r="AE23" s="268" t="str">
        <f t="shared" si="33"/>
        <v/>
      </c>
      <c r="AF23" s="330">
        <f t="shared" si="22"/>
        <v>0</v>
      </c>
      <c r="AG23" s="275" t="str">
        <f t="shared" si="8"/>
        <v/>
      </c>
      <c r="AH23" s="275" t="str">
        <f t="shared" si="9"/>
        <v/>
      </c>
      <c r="AI23" s="275" t="str">
        <f t="shared" si="10"/>
        <v/>
      </c>
      <c r="AJ23" s="120" t="str">
        <f t="shared" si="23"/>
        <v/>
      </c>
      <c r="AK23" s="120" t="str">
        <f t="shared" si="24"/>
        <v/>
      </c>
      <c r="AL23" s="120">
        <f t="shared" si="25"/>
        <v>0</v>
      </c>
      <c r="AM23" s="120">
        <f t="shared" si="26"/>
        <v>0</v>
      </c>
      <c r="AN23" s="120">
        <f t="shared" si="27"/>
        <v>0</v>
      </c>
      <c r="AO23" s="120">
        <f t="shared" si="28"/>
        <v>0</v>
      </c>
      <c r="AP23" s="120">
        <f t="shared" si="29"/>
        <v>0</v>
      </c>
      <c r="AQ23" s="120">
        <f t="shared" si="30"/>
        <v>0</v>
      </c>
      <c r="AR23" s="120">
        <f t="shared" si="31"/>
        <v>0</v>
      </c>
    </row>
    <row r="24" spans="1:44" x14ac:dyDescent="0.15">
      <c r="A24" s="307">
        <v>21</v>
      </c>
      <c r="B24" s="282"/>
      <c r="C24" s="282"/>
      <c r="D24" s="606"/>
      <c r="E24" s="607"/>
      <c r="F24" s="607"/>
      <c r="G24" s="282"/>
      <c r="H24" s="610"/>
      <c r="I24" s="61">
        <f t="shared" si="11"/>
        <v>0</v>
      </c>
      <c r="J24" s="55">
        <f t="shared" si="12"/>
        <v>0</v>
      </c>
      <c r="K24" s="55">
        <f t="shared" si="13"/>
        <v>0</v>
      </c>
      <c r="M24" s="120">
        <f t="shared" si="0"/>
        <v>0</v>
      </c>
      <c r="N24" s="120">
        <f t="shared" si="14"/>
        <v>0</v>
      </c>
      <c r="O24" s="120" t="str">
        <f t="shared" si="1"/>
        <v/>
      </c>
      <c r="P24" s="294">
        <f t="shared" si="15"/>
        <v>0</v>
      </c>
      <c r="Q24" s="120">
        <v>21</v>
      </c>
      <c r="R24" s="120">
        <f t="shared" si="2"/>
        <v>50</v>
      </c>
      <c r="S24" s="122">
        <v>1</v>
      </c>
      <c r="T24" s="122">
        <f t="shared" si="16"/>
        <v>0</v>
      </c>
      <c r="U24" s="120">
        <f>SUMIF(P24:P$53,P24,S24:S$53)</f>
        <v>30</v>
      </c>
      <c r="V24" s="120">
        <f t="shared" si="3"/>
        <v>0</v>
      </c>
      <c r="W24" s="120">
        <f t="shared" si="17"/>
        <v>1</v>
      </c>
      <c r="X24" s="120">
        <f t="shared" si="18"/>
        <v>0</v>
      </c>
      <c r="Y24" s="120">
        <f t="shared" si="19"/>
        <v>0</v>
      </c>
      <c r="Z24" s="120"/>
      <c r="AA24" s="120">
        <f t="shared" si="4"/>
        <v>0</v>
      </c>
      <c r="AB24" s="268" t="str">
        <f t="shared" si="32"/>
        <v/>
      </c>
      <c r="AC24" s="268" t="str">
        <f t="shared" si="6"/>
        <v/>
      </c>
      <c r="AD24" s="268" t="str">
        <f t="shared" si="7"/>
        <v/>
      </c>
      <c r="AE24" s="268" t="str">
        <f t="shared" si="33"/>
        <v/>
      </c>
      <c r="AF24" s="330">
        <f t="shared" si="22"/>
        <v>0</v>
      </c>
      <c r="AG24" s="275" t="str">
        <f t="shared" si="8"/>
        <v/>
      </c>
      <c r="AH24" s="275" t="str">
        <f t="shared" si="9"/>
        <v/>
      </c>
      <c r="AI24" s="275" t="str">
        <f t="shared" si="10"/>
        <v/>
      </c>
      <c r="AJ24" s="120" t="str">
        <f t="shared" si="23"/>
        <v/>
      </c>
      <c r="AK24" s="120" t="str">
        <f t="shared" si="24"/>
        <v/>
      </c>
      <c r="AL24" s="120">
        <f t="shared" si="25"/>
        <v>0</v>
      </c>
      <c r="AM24" s="120">
        <f t="shared" si="26"/>
        <v>0</v>
      </c>
      <c r="AN24" s="120">
        <f t="shared" si="27"/>
        <v>0</v>
      </c>
      <c r="AO24" s="120">
        <f t="shared" si="28"/>
        <v>0</v>
      </c>
      <c r="AP24" s="120">
        <f t="shared" si="29"/>
        <v>0</v>
      </c>
      <c r="AQ24" s="120">
        <f t="shared" si="30"/>
        <v>0</v>
      </c>
      <c r="AR24" s="120">
        <f t="shared" si="31"/>
        <v>0</v>
      </c>
    </row>
    <row r="25" spans="1:44" x14ac:dyDescent="0.15">
      <c r="A25" s="307">
        <v>22</v>
      </c>
      <c r="B25" s="282"/>
      <c r="C25" s="282"/>
      <c r="D25" s="606"/>
      <c r="E25" s="607"/>
      <c r="F25" s="607"/>
      <c r="G25" s="282"/>
      <c r="H25" s="610"/>
      <c r="I25" s="61">
        <f t="shared" si="11"/>
        <v>0</v>
      </c>
      <c r="J25" s="55">
        <f t="shared" si="12"/>
        <v>0</v>
      </c>
      <c r="K25" s="55">
        <f t="shared" si="13"/>
        <v>0</v>
      </c>
      <c r="M25" s="120">
        <f t="shared" si="0"/>
        <v>0</v>
      </c>
      <c r="N25" s="120">
        <f t="shared" si="14"/>
        <v>0</v>
      </c>
      <c r="O25" s="120" t="str">
        <f t="shared" si="1"/>
        <v/>
      </c>
      <c r="P25" s="294">
        <f t="shared" si="15"/>
        <v>0</v>
      </c>
      <c r="Q25" s="120">
        <v>22</v>
      </c>
      <c r="R25" s="120">
        <f t="shared" si="2"/>
        <v>50</v>
      </c>
      <c r="S25" s="122">
        <v>1</v>
      </c>
      <c r="T25" s="122">
        <f t="shared" si="16"/>
        <v>0</v>
      </c>
      <c r="U25" s="120">
        <f>SUMIF(P25:P$53,P25,S25:S$53)</f>
        <v>29</v>
      </c>
      <c r="V25" s="120">
        <f t="shared" si="3"/>
        <v>0</v>
      </c>
      <c r="W25" s="120">
        <f t="shared" si="17"/>
        <v>1</v>
      </c>
      <c r="X25" s="120">
        <f t="shared" si="18"/>
        <v>0</v>
      </c>
      <c r="Y25" s="120">
        <f t="shared" si="19"/>
        <v>0</v>
      </c>
      <c r="Z25" s="120"/>
      <c r="AA25" s="120">
        <f t="shared" si="4"/>
        <v>0</v>
      </c>
      <c r="AB25" s="268" t="str">
        <f t="shared" si="32"/>
        <v/>
      </c>
      <c r="AC25" s="268" t="str">
        <f t="shared" si="6"/>
        <v/>
      </c>
      <c r="AD25" s="268" t="str">
        <f t="shared" si="7"/>
        <v/>
      </c>
      <c r="AE25" s="268" t="str">
        <f t="shared" si="33"/>
        <v/>
      </c>
      <c r="AF25" s="330">
        <f t="shared" si="22"/>
        <v>0</v>
      </c>
      <c r="AG25" s="275" t="str">
        <f t="shared" si="8"/>
        <v/>
      </c>
      <c r="AH25" s="275" t="str">
        <f t="shared" si="9"/>
        <v/>
      </c>
      <c r="AI25" s="275" t="str">
        <f t="shared" si="10"/>
        <v/>
      </c>
      <c r="AJ25" s="120" t="str">
        <f t="shared" si="23"/>
        <v/>
      </c>
      <c r="AK25" s="120" t="str">
        <f t="shared" si="24"/>
        <v/>
      </c>
      <c r="AL25" s="120">
        <f t="shared" si="25"/>
        <v>0</v>
      </c>
      <c r="AM25" s="120">
        <f t="shared" si="26"/>
        <v>0</v>
      </c>
      <c r="AN25" s="120">
        <f t="shared" si="27"/>
        <v>0</v>
      </c>
      <c r="AO25" s="120">
        <f t="shared" si="28"/>
        <v>0</v>
      </c>
      <c r="AP25" s="120">
        <f t="shared" si="29"/>
        <v>0</v>
      </c>
      <c r="AQ25" s="120">
        <f t="shared" si="30"/>
        <v>0</v>
      </c>
      <c r="AR25" s="120">
        <f t="shared" si="31"/>
        <v>0</v>
      </c>
    </row>
    <row r="26" spans="1:44" x14ac:dyDescent="0.15">
      <c r="A26" s="307">
        <v>23</v>
      </c>
      <c r="B26" s="282"/>
      <c r="C26" s="282"/>
      <c r="D26" s="606"/>
      <c r="E26" s="607"/>
      <c r="F26" s="607"/>
      <c r="G26" s="282"/>
      <c r="H26" s="610"/>
      <c r="I26" s="61">
        <f t="shared" si="11"/>
        <v>0</v>
      </c>
      <c r="J26" s="55">
        <f t="shared" si="12"/>
        <v>0</v>
      </c>
      <c r="K26" s="55">
        <f t="shared" si="13"/>
        <v>0</v>
      </c>
      <c r="M26" s="120">
        <f t="shared" si="0"/>
        <v>0</v>
      </c>
      <c r="N26" s="120">
        <f t="shared" si="14"/>
        <v>0</v>
      </c>
      <c r="O26" s="120" t="str">
        <f t="shared" si="1"/>
        <v/>
      </c>
      <c r="P26" s="294">
        <f t="shared" si="15"/>
        <v>0</v>
      </c>
      <c r="Q26" s="120">
        <v>23</v>
      </c>
      <c r="R26" s="120">
        <f t="shared" si="2"/>
        <v>50</v>
      </c>
      <c r="S26" s="122">
        <v>1</v>
      </c>
      <c r="T26" s="122">
        <f t="shared" si="16"/>
        <v>0</v>
      </c>
      <c r="U26" s="120">
        <f>SUMIF(P26:P$53,P26,S26:S$53)</f>
        <v>28</v>
      </c>
      <c r="V26" s="120">
        <f t="shared" si="3"/>
        <v>0</v>
      </c>
      <c r="W26" s="120">
        <f t="shared" si="17"/>
        <v>1</v>
      </c>
      <c r="X26" s="120">
        <f t="shared" si="18"/>
        <v>0</v>
      </c>
      <c r="Y26" s="120">
        <f t="shared" si="19"/>
        <v>0</v>
      </c>
      <c r="Z26" s="120"/>
      <c r="AA26" s="120">
        <f t="shared" si="4"/>
        <v>0</v>
      </c>
      <c r="AB26" s="268" t="str">
        <f t="shared" si="32"/>
        <v/>
      </c>
      <c r="AC26" s="268" t="str">
        <f t="shared" si="6"/>
        <v/>
      </c>
      <c r="AD26" s="268" t="str">
        <f t="shared" si="7"/>
        <v/>
      </c>
      <c r="AE26" s="268" t="str">
        <f t="shared" si="33"/>
        <v/>
      </c>
      <c r="AF26" s="330">
        <f t="shared" si="22"/>
        <v>0</v>
      </c>
      <c r="AG26" s="275" t="str">
        <f t="shared" si="8"/>
        <v/>
      </c>
      <c r="AH26" s="275" t="str">
        <f t="shared" si="9"/>
        <v/>
      </c>
      <c r="AI26" s="275" t="str">
        <f t="shared" si="10"/>
        <v/>
      </c>
      <c r="AJ26" s="120" t="str">
        <f t="shared" si="23"/>
        <v/>
      </c>
      <c r="AK26" s="120" t="str">
        <f t="shared" si="24"/>
        <v/>
      </c>
      <c r="AL26" s="120">
        <f t="shared" si="25"/>
        <v>0</v>
      </c>
      <c r="AM26" s="120">
        <f t="shared" si="26"/>
        <v>0</v>
      </c>
      <c r="AN26" s="120">
        <f t="shared" si="27"/>
        <v>0</v>
      </c>
      <c r="AO26" s="120">
        <f t="shared" si="28"/>
        <v>0</v>
      </c>
      <c r="AP26" s="120">
        <f t="shared" si="29"/>
        <v>0</v>
      </c>
      <c r="AQ26" s="120">
        <f t="shared" si="30"/>
        <v>0</v>
      </c>
      <c r="AR26" s="120">
        <f t="shared" si="31"/>
        <v>0</v>
      </c>
    </row>
    <row r="27" spans="1:44" x14ac:dyDescent="0.15">
      <c r="A27" s="307">
        <v>24</v>
      </c>
      <c r="B27" s="282"/>
      <c r="C27" s="282"/>
      <c r="D27" s="606"/>
      <c r="E27" s="607"/>
      <c r="F27" s="607"/>
      <c r="G27" s="282"/>
      <c r="H27" s="610"/>
      <c r="I27" s="61">
        <f t="shared" si="11"/>
        <v>0</v>
      </c>
      <c r="J27" s="55">
        <f t="shared" si="12"/>
        <v>0</v>
      </c>
      <c r="K27" s="55">
        <f t="shared" si="13"/>
        <v>0</v>
      </c>
      <c r="M27" s="120">
        <f t="shared" si="0"/>
        <v>0</v>
      </c>
      <c r="N27" s="120">
        <f t="shared" si="14"/>
        <v>0</v>
      </c>
      <c r="O27" s="120" t="str">
        <f t="shared" si="1"/>
        <v/>
      </c>
      <c r="P27" s="294">
        <f t="shared" si="15"/>
        <v>0</v>
      </c>
      <c r="Q27" s="120">
        <v>24</v>
      </c>
      <c r="R27" s="120">
        <f t="shared" si="2"/>
        <v>50</v>
      </c>
      <c r="S27" s="122">
        <v>1</v>
      </c>
      <c r="T27" s="122">
        <f t="shared" si="16"/>
        <v>0</v>
      </c>
      <c r="U27" s="120">
        <f>SUMIF(P27:P$53,P27,S27:S$53)</f>
        <v>27</v>
      </c>
      <c r="V27" s="120">
        <f t="shared" si="3"/>
        <v>0</v>
      </c>
      <c r="W27" s="120">
        <f t="shared" si="17"/>
        <v>1</v>
      </c>
      <c r="X27" s="120">
        <f t="shared" si="18"/>
        <v>0</v>
      </c>
      <c r="Y27" s="120">
        <f t="shared" si="19"/>
        <v>0</v>
      </c>
      <c r="Z27" s="120"/>
      <c r="AA27" s="120">
        <f t="shared" si="4"/>
        <v>0</v>
      </c>
      <c r="AB27" s="268" t="str">
        <f t="shared" si="32"/>
        <v/>
      </c>
      <c r="AC27" s="268" t="str">
        <f t="shared" si="6"/>
        <v/>
      </c>
      <c r="AD27" s="268" t="str">
        <f t="shared" si="7"/>
        <v/>
      </c>
      <c r="AE27" s="268" t="str">
        <f t="shared" si="33"/>
        <v/>
      </c>
      <c r="AF27" s="330">
        <f t="shared" si="22"/>
        <v>0</v>
      </c>
      <c r="AG27" s="275" t="str">
        <f t="shared" si="8"/>
        <v/>
      </c>
      <c r="AH27" s="275" t="str">
        <f t="shared" si="9"/>
        <v/>
      </c>
      <c r="AI27" s="275" t="str">
        <f t="shared" si="10"/>
        <v/>
      </c>
      <c r="AJ27" s="120" t="str">
        <f t="shared" si="23"/>
        <v/>
      </c>
      <c r="AK27" s="120" t="str">
        <f t="shared" si="24"/>
        <v/>
      </c>
      <c r="AL27" s="120">
        <f t="shared" si="25"/>
        <v>0</v>
      </c>
      <c r="AM27" s="120">
        <f t="shared" si="26"/>
        <v>0</v>
      </c>
      <c r="AN27" s="120">
        <f t="shared" si="27"/>
        <v>0</v>
      </c>
      <c r="AO27" s="120">
        <f t="shared" si="28"/>
        <v>0</v>
      </c>
      <c r="AP27" s="120">
        <f t="shared" si="29"/>
        <v>0</v>
      </c>
      <c r="AQ27" s="120">
        <f t="shared" si="30"/>
        <v>0</v>
      </c>
      <c r="AR27" s="120">
        <f t="shared" si="31"/>
        <v>0</v>
      </c>
    </row>
    <row r="28" spans="1:44" x14ac:dyDescent="0.15">
      <c r="A28" s="307">
        <v>25</v>
      </c>
      <c r="B28" s="282"/>
      <c r="C28" s="282"/>
      <c r="D28" s="606"/>
      <c r="E28" s="607"/>
      <c r="F28" s="607"/>
      <c r="G28" s="282"/>
      <c r="H28" s="610"/>
      <c r="I28" s="61">
        <f t="shared" si="11"/>
        <v>0</v>
      </c>
      <c r="J28" s="55">
        <f t="shared" si="12"/>
        <v>0</v>
      </c>
      <c r="K28" s="55">
        <f t="shared" si="13"/>
        <v>0</v>
      </c>
      <c r="M28" s="120">
        <f t="shared" si="0"/>
        <v>0</v>
      </c>
      <c r="N28" s="120">
        <f t="shared" si="14"/>
        <v>0</v>
      </c>
      <c r="O28" s="120" t="str">
        <f t="shared" si="1"/>
        <v/>
      </c>
      <c r="P28" s="294">
        <f t="shared" si="15"/>
        <v>0</v>
      </c>
      <c r="Q28" s="120">
        <v>25</v>
      </c>
      <c r="R28" s="120">
        <f t="shared" si="2"/>
        <v>50</v>
      </c>
      <c r="S28" s="122">
        <v>1</v>
      </c>
      <c r="T28" s="122">
        <f t="shared" ref="T28:T36" si="34">P28</f>
        <v>0</v>
      </c>
      <c r="U28" s="120">
        <f>SUMIF(P28:P$53,P28,S28:S$53)</f>
        <v>26</v>
      </c>
      <c r="V28" s="120">
        <f t="shared" si="3"/>
        <v>0</v>
      </c>
      <c r="W28" s="120">
        <f t="shared" si="17"/>
        <v>1</v>
      </c>
      <c r="X28" s="120">
        <f t="shared" si="18"/>
        <v>0</v>
      </c>
      <c r="Y28" s="120">
        <f t="shared" si="19"/>
        <v>0</v>
      </c>
      <c r="Z28" s="120"/>
      <c r="AA28" s="120">
        <f t="shared" si="4"/>
        <v>0</v>
      </c>
      <c r="AB28" s="268" t="str">
        <f t="shared" si="32"/>
        <v/>
      </c>
      <c r="AC28" s="268" t="str">
        <f t="shared" si="6"/>
        <v/>
      </c>
      <c r="AD28" s="268" t="str">
        <f t="shared" si="7"/>
        <v/>
      </c>
      <c r="AE28" s="268" t="str">
        <f t="shared" si="33"/>
        <v/>
      </c>
      <c r="AF28" s="330">
        <f t="shared" si="22"/>
        <v>0</v>
      </c>
      <c r="AG28" s="275" t="str">
        <f t="shared" si="8"/>
        <v/>
      </c>
      <c r="AH28" s="275" t="str">
        <f t="shared" si="9"/>
        <v/>
      </c>
      <c r="AI28" s="275" t="str">
        <f t="shared" si="10"/>
        <v/>
      </c>
      <c r="AJ28" s="120" t="str">
        <f t="shared" si="23"/>
        <v/>
      </c>
      <c r="AK28" s="120" t="str">
        <f t="shared" si="24"/>
        <v/>
      </c>
      <c r="AL28" s="120">
        <f t="shared" si="25"/>
        <v>0</v>
      </c>
      <c r="AM28" s="120">
        <f t="shared" si="26"/>
        <v>0</v>
      </c>
      <c r="AN28" s="120">
        <f t="shared" si="27"/>
        <v>0</v>
      </c>
      <c r="AO28" s="120">
        <f t="shared" si="28"/>
        <v>0</v>
      </c>
      <c r="AP28" s="120">
        <f t="shared" si="29"/>
        <v>0</v>
      </c>
      <c r="AQ28" s="120">
        <f t="shared" si="30"/>
        <v>0</v>
      </c>
      <c r="AR28" s="120">
        <f t="shared" si="31"/>
        <v>0</v>
      </c>
    </row>
    <row r="29" spans="1:44" x14ac:dyDescent="0.15">
      <c r="A29" s="307">
        <v>26</v>
      </c>
      <c r="B29" s="282"/>
      <c r="C29" s="282"/>
      <c r="D29" s="606"/>
      <c r="E29" s="607"/>
      <c r="F29" s="607"/>
      <c r="G29" s="282"/>
      <c r="H29" s="610"/>
      <c r="I29" s="61">
        <f t="shared" si="11"/>
        <v>0</v>
      </c>
      <c r="J29" s="55">
        <f t="shared" si="12"/>
        <v>0</v>
      </c>
      <c r="K29" s="55">
        <f t="shared" si="13"/>
        <v>0</v>
      </c>
      <c r="M29" s="120">
        <f t="shared" si="0"/>
        <v>0</v>
      </c>
      <c r="N29" s="120">
        <f t="shared" si="14"/>
        <v>0</v>
      </c>
      <c r="O29" s="120" t="str">
        <f t="shared" si="1"/>
        <v/>
      </c>
      <c r="P29" s="294">
        <f t="shared" si="15"/>
        <v>0</v>
      </c>
      <c r="Q29" s="120">
        <v>26</v>
      </c>
      <c r="R29" s="120">
        <f t="shared" si="2"/>
        <v>50</v>
      </c>
      <c r="S29" s="122">
        <v>1</v>
      </c>
      <c r="T29" s="122">
        <f t="shared" si="34"/>
        <v>0</v>
      </c>
      <c r="U29" s="120">
        <f>SUMIF(P29:P$53,P29,S29:S$53)</f>
        <v>25</v>
      </c>
      <c r="V29" s="120">
        <f t="shared" si="3"/>
        <v>0</v>
      </c>
      <c r="W29" s="120">
        <f t="shared" si="17"/>
        <v>1</v>
      </c>
      <c r="X29" s="120">
        <f t="shared" si="18"/>
        <v>0</v>
      </c>
      <c r="Y29" s="120">
        <f t="shared" si="19"/>
        <v>0</v>
      </c>
      <c r="Z29" s="120"/>
      <c r="AA29" s="120">
        <f t="shared" si="4"/>
        <v>0</v>
      </c>
      <c r="AB29" s="268" t="str">
        <f t="shared" si="32"/>
        <v/>
      </c>
      <c r="AC29" s="268" t="str">
        <f t="shared" si="6"/>
        <v/>
      </c>
      <c r="AD29" s="268" t="str">
        <f t="shared" si="7"/>
        <v/>
      </c>
      <c r="AE29" s="268" t="str">
        <f t="shared" si="33"/>
        <v/>
      </c>
      <c r="AF29" s="330">
        <f t="shared" si="22"/>
        <v>0</v>
      </c>
      <c r="AG29" s="275" t="str">
        <f t="shared" si="8"/>
        <v/>
      </c>
      <c r="AH29" s="275" t="str">
        <f t="shared" si="9"/>
        <v/>
      </c>
      <c r="AI29" s="275" t="str">
        <f t="shared" si="10"/>
        <v/>
      </c>
      <c r="AJ29" s="120" t="str">
        <f t="shared" si="23"/>
        <v/>
      </c>
      <c r="AK29" s="120" t="str">
        <f t="shared" si="24"/>
        <v/>
      </c>
      <c r="AL29" s="120">
        <f t="shared" si="25"/>
        <v>0</v>
      </c>
      <c r="AM29" s="120">
        <f t="shared" si="26"/>
        <v>0</v>
      </c>
      <c r="AN29" s="120">
        <f t="shared" si="27"/>
        <v>0</v>
      </c>
      <c r="AO29" s="120">
        <f t="shared" si="28"/>
        <v>0</v>
      </c>
      <c r="AP29" s="120">
        <f t="shared" si="29"/>
        <v>0</v>
      </c>
      <c r="AQ29" s="120">
        <f t="shared" si="30"/>
        <v>0</v>
      </c>
      <c r="AR29" s="120">
        <f t="shared" si="31"/>
        <v>0</v>
      </c>
    </row>
    <row r="30" spans="1:44" x14ac:dyDescent="0.15">
      <c r="A30" s="307">
        <v>27</v>
      </c>
      <c r="B30" s="282"/>
      <c r="C30" s="282"/>
      <c r="D30" s="606"/>
      <c r="E30" s="607"/>
      <c r="F30" s="607"/>
      <c r="G30" s="282"/>
      <c r="H30" s="610"/>
      <c r="I30" s="61">
        <f t="shared" si="11"/>
        <v>0</v>
      </c>
      <c r="J30" s="55">
        <f t="shared" si="12"/>
        <v>0</v>
      </c>
      <c r="K30" s="55">
        <f t="shared" si="13"/>
        <v>0</v>
      </c>
      <c r="M30" s="120">
        <f t="shared" si="0"/>
        <v>0</v>
      </c>
      <c r="N30" s="120">
        <f t="shared" si="14"/>
        <v>0</v>
      </c>
      <c r="O30" s="120" t="str">
        <f t="shared" si="1"/>
        <v/>
      </c>
      <c r="P30" s="294">
        <f t="shared" si="15"/>
        <v>0</v>
      </c>
      <c r="Q30" s="120">
        <v>27</v>
      </c>
      <c r="R30" s="120">
        <f t="shared" si="2"/>
        <v>50</v>
      </c>
      <c r="S30" s="122">
        <v>1</v>
      </c>
      <c r="T30" s="122">
        <f t="shared" si="34"/>
        <v>0</v>
      </c>
      <c r="U30" s="120">
        <f>SUMIF(P30:P$53,P30,S30:S$53)</f>
        <v>24</v>
      </c>
      <c r="V30" s="120">
        <f t="shared" si="3"/>
        <v>0</v>
      </c>
      <c r="W30" s="120">
        <f t="shared" si="17"/>
        <v>1</v>
      </c>
      <c r="X30" s="120">
        <f t="shared" si="18"/>
        <v>0</v>
      </c>
      <c r="Y30" s="120">
        <f t="shared" si="19"/>
        <v>0</v>
      </c>
      <c r="Z30" s="120"/>
      <c r="AA30" s="120">
        <f t="shared" si="4"/>
        <v>0</v>
      </c>
      <c r="AB30" s="268" t="str">
        <f t="shared" si="32"/>
        <v/>
      </c>
      <c r="AC30" s="268" t="str">
        <f t="shared" si="6"/>
        <v/>
      </c>
      <c r="AD30" s="268" t="str">
        <f t="shared" si="7"/>
        <v/>
      </c>
      <c r="AE30" s="268" t="str">
        <f t="shared" si="33"/>
        <v/>
      </c>
      <c r="AF30" s="330">
        <f t="shared" si="22"/>
        <v>0</v>
      </c>
      <c r="AG30" s="275" t="str">
        <f t="shared" si="8"/>
        <v/>
      </c>
      <c r="AH30" s="275" t="str">
        <f t="shared" si="9"/>
        <v/>
      </c>
      <c r="AI30" s="275" t="str">
        <f t="shared" si="10"/>
        <v/>
      </c>
      <c r="AJ30" s="120" t="str">
        <f t="shared" si="23"/>
        <v/>
      </c>
      <c r="AK30" s="120" t="str">
        <f t="shared" si="24"/>
        <v/>
      </c>
      <c r="AL30" s="120">
        <f t="shared" si="25"/>
        <v>0</v>
      </c>
      <c r="AM30" s="120">
        <f t="shared" si="26"/>
        <v>0</v>
      </c>
      <c r="AN30" s="120">
        <f t="shared" si="27"/>
        <v>0</v>
      </c>
      <c r="AO30" s="120">
        <f t="shared" si="28"/>
        <v>0</v>
      </c>
      <c r="AP30" s="120">
        <f t="shared" si="29"/>
        <v>0</v>
      </c>
      <c r="AQ30" s="120">
        <f t="shared" si="30"/>
        <v>0</v>
      </c>
      <c r="AR30" s="120">
        <f t="shared" si="31"/>
        <v>0</v>
      </c>
    </row>
    <row r="31" spans="1:44" x14ac:dyDescent="0.15">
      <c r="A31" s="307">
        <v>28</v>
      </c>
      <c r="B31" s="282"/>
      <c r="C31" s="282"/>
      <c r="D31" s="606"/>
      <c r="E31" s="607"/>
      <c r="F31" s="607"/>
      <c r="G31" s="282"/>
      <c r="H31" s="610"/>
      <c r="I31" s="61">
        <f t="shared" si="11"/>
        <v>0</v>
      </c>
      <c r="J31" s="55">
        <f t="shared" si="12"/>
        <v>0</v>
      </c>
      <c r="K31" s="55">
        <f t="shared" si="13"/>
        <v>0</v>
      </c>
      <c r="M31" s="120">
        <f t="shared" si="0"/>
        <v>0</v>
      </c>
      <c r="N31" s="120">
        <f t="shared" si="14"/>
        <v>0</v>
      </c>
      <c r="O31" s="120" t="str">
        <f t="shared" si="1"/>
        <v/>
      </c>
      <c r="P31" s="294">
        <f t="shared" si="15"/>
        <v>0</v>
      </c>
      <c r="Q31" s="120">
        <v>28</v>
      </c>
      <c r="R31" s="120">
        <f t="shared" si="2"/>
        <v>50</v>
      </c>
      <c r="S31" s="122">
        <v>1</v>
      </c>
      <c r="T31" s="122">
        <f t="shared" si="34"/>
        <v>0</v>
      </c>
      <c r="U31" s="120">
        <f>SUMIF(P31:P$53,P31,S31:S$53)</f>
        <v>23</v>
      </c>
      <c r="V31" s="120">
        <f t="shared" si="3"/>
        <v>0</v>
      </c>
      <c r="W31" s="120">
        <f t="shared" si="17"/>
        <v>1</v>
      </c>
      <c r="X31" s="120">
        <f t="shared" si="18"/>
        <v>0</v>
      </c>
      <c r="Y31" s="120">
        <f t="shared" si="19"/>
        <v>0</v>
      </c>
      <c r="Z31" s="120"/>
      <c r="AA31" s="120">
        <f t="shared" si="4"/>
        <v>0</v>
      </c>
      <c r="AB31" s="268" t="str">
        <f t="shared" si="32"/>
        <v/>
      </c>
      <c r="AC31" s="268" t="str">
        <f t="shared" si="6"/>
        <v/>
      </c>
      <c r="AD31" s="268" t="str">
        <f t="shared" si="7"/>
        <v/>
      </c>
      <c r="AE31" s="268" t="str">
        <f t="shared" si="33"/>
        <v/>
      </c>
      <c r="AF31" s="330">
        <f t="shared" si="22"/>
        <v>0</v>
      </c>
      <c r="AG31" s="275" t="str">
        <f t="shared" si="8"/>
        <v/>
      </c>
      <c r="AH31" s="275" t="str">
        <f t="shared" si="9"/>
        <v/>
      </c>
      <c r="AI31" s="275" t="str">
        <f t="shared" si="10"/>
        <v/>
      </c>
      <c r="AJ31" s="120" t="str">
        <f t="shared" si="23"/>
        <v/>
      </c>
      <c r="AK31" s="120" t="str">
        <f t="shared" si="24"/>
        <v/>
      </c>
      <c r="AL31" s="120">
        <f t="shared" si="25"/>
        <v>0</v>
      </c>
      <c r="AM31" s="120">
        <f t="shared" si="26"/>
        <v>0</v>
      </c>
      <c r="AN31" s="120">
        <f t="shared" si="27"/>
        <v>0</v>
      </c>
      <c r="AO31" s="120">
        <f t="shared" si="28"/>
        <v>0</v>
      </c>
      <c r="AP31" s="120">
        <f t="shared" si="29"/>
        <v>0</v>
      </c>
      <c r="AQ31" s="120">
        <f t="shared" si="30"/>
        <v>0</v>
      </c>
      <c r="AR31" s="120">
        <f t="shared" si="31"/>
        <v>0</v>
      </c>
    </row>
    <row r="32" spans="1:44" x14ac:dyDescent="0.15">
      <c r="A32" s="307">
        <v>29</v>
      </c>
      <c r="B32" s="282"/>
      <c r="C32" s="282"/>
      <c r="D32" s="606"/>
      <c r="E32" s="607"/>
      <c r="F32" s="607"/>
      <c r="G32" s="282"/>
      <c r="H32" s="610"/>
      <c r="I32" s="61">
        <f t="shared" si="11"/>
        <v>0</v>
      </c>
      <c r="J32" s="55">
        <f t="shared" si="12"/>
        <v>0</v>
      </c>
      <c r="K32" s="55">
        <f t="shared" si="13"/>
        <v>0</v>
      </c>
      <c r="M32" s="120">
        <f t="shared" si="0"/>
        <v>0</v>
      </c>
      <c r="N32" s="120">
        <f t="shared" si="14"/>
        <v>0</v>
      </c>
      <c r="O32" s="120" t="str">
        <f t="shared" si="1"/>
        <v/>
      </c>
      <c r="P32" s="294">
        <f t="shared" si="15"/>
        <v>0</v>
      </c>
      <c r="Q32" s="120">
        <v>29</v>
      </c>
      <c r="R32" s="120">
        <f t="shared" si="2"/>
        <v>50</v>
      </c>
      <c r="S32" s="122">
        <v>1</v>
      </c>
      <c r="T32" s="122">
        <f t="shared" si="34"/>
        <v>0</v>
      </c>
      <c r="U32" s="120">
        <f>SUMIF(P32:P$53,P32,S32:S$53)</f>
        <v>22</v>
      </c>
      <c r="V32" s="120">
        <f t="shared" si="3"/>
        <v>0</v>
      </c>
      <c r="W32" s="120">
        <f t="shared" si="17"/>
        <v>1</v>
      </c>
      <c r="X32" s="120">
        <f t="shared" si="18"/>
        <v>0</v>
      </c>
      <c r="Y32" s="120">
        <f t="shared" si="19"/>
        <v>0</v>
      </c>
      <c r="Z32" s="120"/>
      <c r="AA32" s="120">
        <f t="shared" si="4"/>
        <v>0</v>
      </c>
      <c r="AB32" s="268" t="str">
        <f t="shared" si="32"/>
        <v/>
      </c>
      <c r="AC32" s="268" t="str">
        <f t="shared" si="6"/>
        <v/>
      </c>
      <c r="AD32" s="268" t="str">
        <f t="shared" si="7"/>
        <v/>
      </c>
      <c r="AE32" s="268" t="str">
        <f t="shared" si="33"/>
        <v/>
      </c>
      <c r="AF32" s="330">
        <f t="shared" si="22"/>
        <v>0</v>
      </c>
      <c r="AG32" s="275" t="str">
        <f t="shared" si="8"/>
        <v/>
      </c>
      <c r="AH32" s="275" t="str">
        <f t="shared" si="9"/>
        <v/>
      </c>
      <c r="AI32" s="275" t="str">
        <f t="shared" si="10"/>
        <v/>
      </c>
      <c r="AJ32" s="120" t="str">
        <f t="shared" si="23"/>
        <v/>
      </c>
      <c r="AK32" s="120" t="str">
        <f t="shared" si="24"/>
        <v/>
      </c>
      <c r="AL32" s="120">
        <f t="shared" si="25"/>
        <v>0</v>
      </c>
      <c r="AM32" s="120">
        <f t="shared" si="26"/>
        <v>0</v>
      </c>
      <c r="AN32" s="120">
        <f t="shared" si="27"/>
        <v>0</v>
      </c>
      <c r="AO32" s="120">
        <f t="shared" si="28"/>
        <v>0</v>
      </c>
      <c r="AP32" s="120">
        <f t="shared" si="29"/>
        <v>0</v>
      </c>
      <c r="AQ32" s="120">
        <f t="shared" si="30"/>
        <v>0</v>
      </c>
      <c r="AR32" s="120">
        <f t="shared" si="31"/>
        <v>0</v>
      </c>
    </row>
    <row r="33" spans="1:44" x14ac:dyDescent="0.15">
      <c r="A33" s="307">
        <v>30</v>
      </c>
      <c r="B33" s="282"/>
      <c r="C33" s="282"/>
      <c r="D33" s="606"/>
      <c r="E33" s="607"/>
      <c r="F33" s="607"/>
      <c r="G33" s="282"/>
      <c r="H33" s="610"/>
      <c r="I33" s="61">
        <f t="shared" si="11"/>
        <v>0</v>
      </c>
      <c r="J33" s="55">
        <f t="shared" si="12"/>
        <v>0</v>
      </c>
      <c r="K33" s="55">
        <f t="shared" si="13"/>
        <v>0</v>
      </c>
      <c r="M33" s="120">
        <f t="shared" si="0"/>
        <v>0</v>
      </c>
      <c r="N33" s="120">
        <f t="shared" si="14"/>
        <v>0</v>
      </c>
      <c r="O33" s="120" t="str">
        <f t="shared" si="1"/>
        <v/>
      </c>
      <c r="P33" s="294">
        <f t="shared" si="15"/>
        <v>0</v>
      </c>
      <c r="Q33" s="120">
        <v>30</v>
      </c>
      <c r="R33" s="120">
        <f t="shared" si="2"/>
        <v>50</v>
      </c>
      <c r="S33" s="122">
        <v>1</v>
      </c>
      <c r="T33" s="122">
        <f t="shared" si="34"/>
        <v>0</v>
      </c>
      <c r="U33" s="120">
        <f>SUMIF(P33:P$53,P33,S33:S$53)</f>
        <v>21</v>
      </c>
      <c r="V33" s="120">
        <f t="shared" si="3"/>
        <v>0</v>
      </c>
      <c r="W33" s="120">
        <f t="shared" si="17"/>
        <v>1</v>
      </c>
      <c r="X33" s="120">
        <f t="shared" si="18"/>
        <v>0</v>
      </c>
      <c r="Y33" s="120">
        <f t="shared" si="19"/>
        <v>0</v>
      </c>
      <c r="Z33" s="120"/>
      <c r="AA33" s="120">
        <f t="shared" si="4"/>
        <v>0</v>
      </c>
      <c r="AB33" s="268" t="str">
        <f t="shared" si="32"/>
        <v/>
      </c>
      <c r="AC33" s="268" t="str">
        <f t="shared" si="6"/>
        <v/>
      </c>
      <c r="AD33" s="268" t="str">
        <f t="shared" si="7"/>
        <v/>
      </c>
      <c r="AE33" s="268" t="str">
        <f t="shared" si="33"/>
        <v/>
      </c>
      <c r="AF33" s="330">
        <f t="shared" si="22"/>
        <v>0</v>
      </c>
      <c r="AG33" s="275" t="str">
        <f t="shared" si="8"/>
        <v/>
      </c>
      <c r="AH33" s="275" t="str">
        <f t="shared" si="9"/>
        <v/>
      </c>
      <c r="AI33" s="275" t="str">
        <f t="shared" si="10"/>
        <v/>
      </c>
      <c r="AJ33" s="120" t="str">
        <f t="shared" si="23"/>
        <v/>
      </c>
      <c r="AK33" s="120" t="str">
        <f t="shared" si="24"/>
        <v/>
      </c>
      <c r="AL33" s="120">
        <f t="shared" si="25"/>
        <v>0</v>
      </c>
      <c r="AM33" s="120">
        <f t="shared" si="26"/>
        <v>0</v>
      </c>
      <c r="AN33" s="120">
        <f t="shared" si="27"/>
        <v>0</v>
      </c>
      <c r="AO33" s="120">
        <f t="shared" si="28"/>
        <v>0</v>
      </c>
      <c r="AP33" s="120">
        <f t="shared" si="29"/>
        <v>0</v>
      </c>
      <c r="AQ33" s="120">
        <f t="shared" si="30"/>
        <v>0</v>
      </c>
      <c r="AR33" s="120">
        <f t="shared" si="31"/>
        <v>0</v>
      </c>
    </row>
    <row r="34" spans="1:44" x14ac:dyDescent="0.15">
      <c r="A34" s="307">
        <v>31</v>
      </c>
      <c r="B34" s="282"/>
      <c r="C34" s="282"/>
      <c r="D34" s="606"/>
      <c r="E34" s="607"/>
      <c r="F34" s="607"/>
      <c r="G34" s="282"/>
      <c r="H34" s="610"/>
      <c r="I34" s="61">
        <f t="shared" si="11"/>
        <v>0</v>
      </c>
      <c r="J34" s="55">
        <f t="shared" si="12"/>
        <v>0</v>
      </c>
      <c r="K34" s="55">
        <f t="shared" si="13"/>
        <v>0</v>
      </c>
      <c r="M34" s="120">
        <f t="shared" si="0"/>
        <v>0</v>
      </c>
      <c r="N34" s="120">
        <f t="shared" si="14"/>
        <v>0</v>
      </c>
      <c r="O34" s="120" t="str">
        <f t="shared" si="1"/>
        <v/>
      </c>
      <c r="P34" s="294">
        <f t="shared" si="15"/>
        <v>0</v>
      </c>
      <c r="Q34" s="120">
        <v>31</v>
      </c>
      <c r="R34" s="120">
        <f t="shared" si="2"/>
        <v>50</v>
      </c>
      <c r="S34" s="122">
        <v>1</v>
      </c>
      <c r="T34" s="122">
        <f t="shared" si="34"/>
        <v>0</v>
      </c>
      <c r="U34" s="120">
        <f>SUMIF(P34:P$53,P34,S34:S$53)</f>
        <v>20</v>
      </c>
      <c r="V34" s="120">
        <f t="shared" si="3"/>
        <v>0</v>
      </c>
      <c r="W34" s="120">
        <f t="shared" si="17"/>
        <v>1</v>
      </c>
      <c r="X34" s="120">
        <f t="shared" si="18"/>
        <v>0</v>
      </c>
      <c r="Y34" s="120">
        <f t="shared" si="19"/>
        <v>0</v>
      </c>
      <c r="Z34" s="120"/>
      <c r="AA34" s="120">
        <f t="shared" si="4"/>
        <v>0</v>
      </c>
      <c r="AB34" s="268" t="str">
        <f t="shared" si="32"/>
        <v/>
      </c>
      <c r="AC34" s="268" t="str">
        <f t="shared" si="6"/>
        <v/>
      </c>
      <c r="AD34" s="268" t="str">
        <f t="shared" si="7"/>
        <v/>
      </c>
      <c r="AE34" s="268" t="str">
        <f t="shared" si="33"/>
        <v/>
      </c>
      <c r="AF34" s="330">
        <f t="shared" si="22"/>
        <v>0</v>
      </c>
      <c r="AG34" s="275" t="str">
        <f t="shared" si="8"/>
        <v/>
      </c>
      <c r="AH34" s="275" t="str">
        <f t="shared" si="9"/>
        <v/>
      </c>
      <c r="AI34" s="275" t="str">
        <f t="shared" si="10"/>
        <v/>
      </c>
      <c r="AJ34" s="120" t="str">
        <f t="shared" si="23"/>
        <v/>
      </c>
      <c r="AK34" s="120" t="str">
        <f t="shared" si="24"/>
        <v/>
      </c>
      <c r="AL34" s="120">
        <f t="shared" si="25"/>
        <v>0</v>
      </c>
      <c r="AM34" s="120">
        <f t="shared" si="26"/>
        <v>0</v>
      </c>
      <c r="AN34" s="120">
        <f t="shared" si="27"/>
        <v>0</v>
      </c>
      <c r="AO34" s="120">
        <f t="shared" si="28"/>
        <v>0</v>
      </c>
      <c r="AP34" s="120">
        <f t="shared" si="29"/>
        <v>0</v>
      </c>
      <c r="AQ34" s="120">
        <f t="shared" si="30"/>
        <v>0</v>
      </c>
      <c r="AR34" s="120">
        <f t="shared" si="31"/>
        <v>0</v>
      </c>
    </row>
    <row r="35" spans="1:44" x14ac:dyDescent="0.15">
      <c r="A35" s="307">
        <v>32</v>
      </c>
      <c r="B35" s="282"/>
      <c r="C35" s="282"/>
      <c r="D35" s="606"/>
      <c r="E35" s="607"/>
      <c r="F35" s="607"/>
      <c r="G35" s="282"/>
      <c r="H35" s="610"/>
      <c r="I35" s="61">
        <f t="shared" si="11"/>
        <v>0</v>
      </c>
      <c r="J35" s="55">
        <f t="shared" si="12"/>
        <v>0</v>
      </c>
      <c r="K35" s="55">
        <f t="shared" si="13"/>
        <v>0</v>
      </c>
      <c r="M35" s="120">
        <f t="shared" si="0"/>
        <v>0</v>
      </c>
      <c r="N35" s="120">
        <f t="shared" si="14"/>
        <v>0</v>
      </c>
      <c r="O35" s="120" t="str">
        <f t="shared" si="1"/>
        <v/>
      </c>
      <c r="P35" s="294">
        <f t="shared" si="15"/>
        <v>0</v>
      </c>
      <c r="Q35" s="120">
        <v>32</v>
      </c>
      <c r="R35" s="120">
        <f t="shared" si="2"/>
        <v>50</v>
      </c>
      <c r="S35" s="122">
        <v>1</v>
      </c>
      <c r="T35" s="122">
        <f t="shared" si="34"/>
        <v>0</v>
      </c>
      <c r="U35" s="120">
        <f>SUMIF(P35:P$53,P35,S35:S$53)</f>
        <v>19</v>
      </c>
      <c r="V35" s="120">
        <f t="shared" si="3"/>
        <v>0</v>
      </c>
      <c r="W35" s="120">
        <f t="shared" si="17"/>
        <v>1</v>
      </c>
      <c r="X35" s="120">
        <f t="shared" si="18"/>
        <v>0</v>
      </c>
      <c r="Y35" s="120">
        <f t="shared" si="19"/>
        <v>0</v>
      </c>
      <c r="Z35" s="120"/>
      <c r="AA35" s="120">
        <f t="shared" si="4"/>
        <v>0</v>
      </c>
      <c r="AB35" s="268" t="str">
        <f t="shared" si="32"/>
        <v/>
      </c>
      <c r="AC35" s="268" t="str">
        <f t="shared" si="6"/>
        <v/>
      </c>
      <c r="AD35" s="268" t="str">
        <f t="shared" si="7"/>
        <v/>
      </c>
      <c r="AE35" s="268" t="str">
        <f t="shared" si="33"/>
        <v/>
      </c>
      <c r="AF35" s="330">
        <f t="shared" si="22"/>
        <v>0</v>
      </c>
      <c r="AG35" s="275" t="str">
        <f t="shared" si="8"/>
        <v/>
      </c>
      <c r="AH35" s="275" t="str">
        <f t="shared" si="9"/>
        <v/>
      </c>
      <c r="AI35" s="275" t="str">
        <f t="shared" si="10"/>
        <v/>
      </c>
      <c r="AJ35" s="120" t="str">
        <f t="shared" si="23"/>
        <v/>
      </c>
      <c r="AK35" s="120" t="str">
        <f t="shared" si="24"/>
        <v/>
      </c>
      <c r="AL35" s="120">
        <f t="shared" si="25"/>
        <v>0</v>
      </c>
      <c r="AM35" s="120">
        <f t="shared" si="26"/>
        <v>0</v>
      </c>
      <c r="AN35" s="120">
        <f t="shared" si="27"/>
        <v>0</v>
      </c>
      <c r="AO35" s="120">
        <f t="shared" si="28"/>
        <v>0</v>
      </c>
      <c r="AP35" s="120">
        <f t="shared" si="29"/>
        <v>0</v>
      </c>
      <c r="AQ35" s="120">
        <f t="shared" si="30"/>
        <v>0</v>
      </c>
      <c r="AR35" s="120">
        <f t="shared" si="31"/>
        <v>0</v>
      </c>
    </row>
    <row r="36" spans="1:44" x14ac:dyDescent="0.15">
      <c r="A36" s="307">
        <v>33</v>
      </c>
      <c r="B36" s="282"/>
      <c r="C36" s="282"/>
      <c r="D36" s="606"/>
      <c r="E36" s="607"/>
      <c r="F36" s="607"/>
      <c r="G36" s="282"/>
      <c r="H36" s="610"/>
      <c r="I36" s="61">
        <f t="shared" si="11"/>
        <v>0</v>
      </c>
      <c r="J36" s="55">
        <f t="shared" si="12"/>
        <v>0</v>
      </c>
      <c r="K36" s="55">
        <f t="shared" si="13"/>
        <v>0</v>
      </c>
      <c r="M36" s="120">
        <f t="shared" ref="M36:M53" si="35">COUNTIF(C$4:C$53,C36)</f>
        <v>0</v>
      </c>
      <c r="N36" s="120">
        <f t="shared" si="14"/>
        <v>0</v>
      </c>
      <c r="O36" s="120" t="str">
        <f t="shared" ref="O36:O53" si="36">IF(N36=0,"",RANK(N36,N$4:N$53,1))</f>
        <v/>
      </c>
      <c r="P36" s="294">
        <f t="shared" si="15"/>
        <v>0</v>
      </c>
      <c r="Q36" s="120">
        <v>33</v>
      </c>
      <c r="R36" s="120">
        <f t="shared" ref="R36:R53" si="37">SUMIF(P$4:P$53,P36,S$4:S$53)</f>
        <v>50</v>
      </c>
      <c r="S36" s="122">
        <v>1</v>
      </c>
      <c r="T36" s="122">
        <f t="shared" si="34"/>
        <v>0</v>
      </c>
      <c r="U36" s="120">
        <f>SUMIF(P36:P$53,P36,S36:S$53)</f>
        <v>18</v>
      </c>
      <c r="V36" s="120">
        <f t="shared" si="3"/>
        <v>0</v>
      </c>
      <c r="W36" s="120">
        <f t="shared" si="17"/>
        <v>1</v>
      </c>
      <c r="X36" s="120">
        <f t="shared" si="18"/>
        <v>0</v>
      </c>
      <c r="Y36" s="120">
        <f t="shared" si="19"/>
        <v>0</v>
      </c>
      <c r="Z36" s="120"/>
      <c r="AA36" s="120">
        <f t="shared" ref="AA36:AA53" si="38">SUMIF(AJ$4:AJ$53,Y36,AK$4:AK$53)</f>
        <v>0</v>
      </c>
      <c r="AB36" s="268" t="str">
        <f t="shared" si="32"/>
        <v/>
      </c>
      <c r="AC36" s="268" t="str">
        <f t="shared" ref="AC36:AC53" si="39">IF(AA36=0,"",LOOKUP(AA36,A$4:A$53,AM$4:AM$53))</f>
        <v/>
      </c>
      <c r="AD36" s="268" t="str">
        <f t="shared" ref="AD36:AD53" si="40">IF(AA36=0,"",LOOKUP(AA36,A$4:A$53,AN$4:AN$53))</f>
        <v/>
      </c>
      <c r="AE36" s="268" t="str">
        <f t="shared" si="33"/>
        <v/>
      </c>
      <c r="AF36" s="330">
        <f t="shared" si="22"/>
        <v>0</v>
      </c>
      <c r="AG36" s="275" t="str">
        <f t="shared" ref="AG36:AG53" si="41">IF(AA36=0,"",LOOKUP(AA36,A$4:A$53,AO$4:AO$53))</f>
        <v/>
      </c>
      <c r="AH36" s="275" t="str">
        <f t="shared" ref="AH36:AH53" si="42">IF(AA36=0,"",LOOKUP(AA36,A$4:A$53,AP$4:AP$53))</f>
        <v/>
      </c>
      <c r="AI36" s="275" t="str">
        <f t="shared" ref="AI36:AI53" si="43">IF(AA36=0,"",LOOKUP(AA36,A$4:A$53,AQ$4:AQ$53))</f>
        <v/>
      </c>
      <c r="AJ36" s="120" t="str">
        <f t="shared" si="23"/>
        <v/>
      </c>
      <c r="AK36" s="120" t="str">
        <f t="shared" si="24"/>
        <v/>
      </c>
      <c r="AL36" s="120">
        <f t="shared" si="25"/>
        <v>0</v>
      </c>
      <c r="AM36" s="120">
        <f t="shared" ref="AM36:AM53" si="44">SUMIF(T$4:T$53,P36,G$4:G$53)</f>
        <v>0</v>
      </c>
      <c r="AN36" s="120">
        <f t="shared" si="27"/>
        <v>0</v>
      </c>
      <c r="AO36" s="120">
        <f t="shared" si="28"/>
        <v>0</v>
      </c>
      <c r="AP36" s="120">
        <f t="shared" si="29"/>
        <v>0</v>
      </c>
      <c r="AQ36" s="120">
        <f t="shared" si="30"/>
        <v>0</v>
      </c>
      <c r="AR36" s="120">
        <f t="shared" si="31"/>
        <v>0</v>
      </c>
    </row>
    <row r="37" spans="1:44" x14ac:dyDescent="0.15">
      <c r="A37" s="307">
        <v>34</v>
      </c>
      <c r="B37" s="282"/>
      <c r="C37" s="282"/>
      <c r="D37" s="606"/>
      <c r="E37" s="607"/>
      <c r="F37" s="607"/>
      <c r="G37" s="282"/>
      <c r="H37" s="610"/>
      <c r="I37" s="61">
        <f t="shared" si="11"/>
        <v>0</v>
      </c>
      <c r="J37" s="55">
        <f t="shared" si="12"/>
        <v>0</v>
      </c>
      <c r="K37" s="55">
        <f t="shared" si="13"/>
        <v>0</v>
      </c>
      <c r="M37" s="120">
        <f t="shared" si="35"/>
        <v>0</v>
      </c>
      <c r="N37" s="120">
        <f t="shared" si="14"/>
        <v>0</v>
      </c>
      <c r="O37" s="120" t="str">
        <f t="shared" si="36"/>
        <v/>
      </c>
      <c r="P37" s="294">
        <f t="shared" si="15"/>
        <v>0</v>
      </c>
      <c r="Q37" s="120">
        <v>34</v>
      </c>
      <c r="R37" s="120">
        <f t="shared" si="37"/>
        <v>50</v>
      </c>
      <c r="S37" s="122">
        <v>1</v>
      </c>
      <c r="T37" s="122">
        <f t="shared" ref="T37:T53" si="45">P37</f>
        <v>0</v>
      </c>
      <c r="U37" s="120">
        <f>SUMIF(P37:P$53,P37,S37:S$53)</f>
        <v>17</v>
      </c>
      <c r="V37" s="120">
        <f t="shared" si="3"/>
        <v>0</v>
      </c>
      <c r="W37" s="120">
        <f t="shared" si="17"/>
        <v>1</v>
      </c>
      <c r="X37" s="120">
        <f t="shared" si="18"/>
        <v>0</v>
      </c>
      <c r="Y37" s="120">
        <f t="shared" si="19"/>
        <v>0</v>
      </c>
      <c r="Z37" s="120"/>
      <c r="AA37" s="120">
        <f t="shared" si="38"/>
        <v>0</v>
      </c>
      <c r="AB37" s="268" t="str">
        <f t="shared" si="32"/>
        <v/>
      </c>
      <c r="AC37" s="268" t="str">
        <f t="shared" si="39"/>
        <v/>
      </c>
      <c r="AD37" s="268" t="str">
        <f t="shared" si="40"/>
        <v/>
      </c>
      <c r="AE37" s="268" t="str">
        <f t="shared" si="33"/>
        <v/>
      </c>
      <c r="AF37" s="330">
        <f t="shared" si="22"/>
        <v>0</v>
      </c>
      <c r="AG37" s="275" t="str">
        <f t="shared" si="41"/>
        <v/>
      </c>
      <c r="AH37" s="275" t="str">
        <f t="shared" si="42"/>
        <v/>
      </c>
      <c r="AI37" s="275" t="str">
        <f t="shared" si="43"/>
        <v/>
      </c>
      <c r="AJ37" s="120" t="str">
        <f t="shared" si="23"/>
        <v/>
      </c>
      <c r="AK37" s="120" t="str">
        <f t="shared" si="24"/>
        <v/>
      </c>
      <c r="AL37" s="120">
        <f t="shared" si="25"/>
        <v>0</v>
      </c>
      <c r="AM37" s="120">
        <f t="shared" si="44"/>
        <v>0</v>
      </c>
      <c r="AN37" s="120">
        <f t="shared" si="27"/>
        <v>0</v>
      </c>
      <c r="AO37" s="120">
        <f t="shared" si="28"/>
        <v>0</v>
      </c>
      <c r="AP37" s="120">
        <f t="shared" si="29"/>
        <v>0</v>
      </c>
      <c r="AQ37" s="120">
        <f t="shared" si="30"/>
        <v>0</v>
      </c>
      <c r="AR37" s="120">
        <f t="shared" si="31"/>
        <v>0</v>
      </c>
    </row>
    <row r="38" spans="1:44" x14ac:dyDescent="0.15">
      <c r="A38" s="307">
        <v>35</v>
      </c>
      <c r="B38" s="282"/>
      <c r="C38" s="282"/>
      <c r="D38" s="606"/>
      <c r="E38" s="607"/>
      <c r="F38" s="607"/>
      <c r="G38" s="282"/>
      <c r="H38" s="610"/>
      <c r="I38" s="61">
        <f t="shared" si="11"/>
        <v>0</v>
      </c>
      <c r="J38" s="55">
        <f t="shared" si="12"/>
        <v>0</v>
      </c>
      <c r="K38" s="55">
        <f t="shared" si="13"/>
        <v>0</v>
      </c>
      <c r="M38" s="120">
        <f t="shared" si="35"/>
        <v>0</v>
      </c>
      <c r="N38" s="120">
        <f t="shared" si="14"/>
        <v>0</v>
      </c>
      <c r="O38" s="120" t="str">
        <f t="shared" si="36"/>
        <v/>
      </c>
      <c r="P38" s="294">
        <f t="shared" si="15"/>
        <v>0</v>
      </c>
      <c r="Q38" s="120">
        <v>35</v>
      </c>
      <c r="R38" s="120">
        <f t="shared" si="37"/>
        <v>50</v>
      </c>
      <c r="S38" s="122">
        <v>1</v>
      </c>
      <c r="T38" s="122">
        <f t="shared" si="45"/>
        <v>0</v>
      </c>
      <c r="U38" s="120">
        <f>SUMIF(P38:P$53,P38,S38:S$53)</f>
        <v>16</v>
      </c>
      <c r="V38" s="120">
        <f t="shared" si="3"/>
        <v>0</v>
      </c>
      <c r="W38" s="120">
        <f t="shared" si="17"/>
        <v>1</v>
      </c>
      <c r="X38" s="120">
        <f t="shared" si="18"/>
        <v>0</v>
      </c>
      <c r="Y38" s="120">
        <f t="shared" si="19"/>
        <v>0</v>
      </c>
      <c r="Z38" s="120"/>
      <c r="AA38" s="120">
        <f t="shared" si="38"/>
        <v>0</v>
      </c>
      <c r="AB38" s="268" t="str">
        <f t="shared" si="32"/>
        <v/>
      </c>
      <c r="AC38" s="268" t="str">
        <f t="shared" si="39"/>
        <v/>
      </c>
      <c r="AD38" s="268" t="str">
        <f t="shared" si="40"/>
        <v/>
      </c>
      <c r="AE38" s="268" t="str">
        <f t="shared" si="33"/>
        <v/>
      </c>
      <c r="AF38" s="330">
        <f t="shared" si="22"/>
        <v>0</v>
      </c>
      <c r="AG38" s="275" t="str">
        <f t="shared" si="41"/>
        <v/>
      </c>
      <c r="AH38" s="275" t="str">
        <f t="shared" si="42"/>
        <v/>
      </c>
      <c r="AI38" s="275" t="str">
        <f t="shared" si="43"/>
        <v/>
      </c>
      <c r="AJ38" s="120" t="str">
        <f t="shared" si="23"/>
        <v/>
      </c>
      <c r="AK38" s="120" t="str">
        <f t="shared" si="24"/>
        <v/>
      </c>
      <c r="AL38" s="120">
        <f t="shared" si="25"/>
        <v>0</v>
      </c>
      <c r="AM38" s="120">
        <f t="shared" si="44"/>
        <v>0</v>
      </c>
      <c r="AN38" s="120">
        <f t="shared" si="27"/>
        <v>0</v>
      </c>
      <c r="AO38" s="120">
        <f t="shared" si="28"/>
        <v>0</v>
      </c>
      <c r="AP38" s="120">
        <f t="shared" si="29"/>
        <v>0</v>
      </c>
      <c r="AQ38" s="120">
        <f t="shared" si="30"/>
        <v>0</v>
      </c>
      <c r="AR38" s="120">
        <f t="shared" si="31"/>
        <v>0</v>
      </c>
    </row>
    <row r="39" spans="1:44" x14ac:dyDescent="0.15">
      <c r="A39" s="307">
        <v>36</v>
      </c>
      <c r="B39" s="282"/>
      <c r="C39" s="282"/>
      <c r="D39" s="606"/>
      <c r="E39" s="607"/>
      <c r="F39" s="607"/>
      <c r="G39" s="282"/>
      <c r="H39" s="610"/>
      <c r="I39" s="61">
        <f t="shared" si="11"/>
        <v>0</v>
      </c>
      <c r="J39" s="55">
        <f t="shared" si="12"/>
        <v>0</v>
      </c>
      <c r="K39" s="55">
        <f t="shared" si="13"/>
        <v>0</v>
      </c>
      <c r="M39" s="120">
        <f t="shared" si="35"/>
        <v>0</v>
      </c>
      <c r="N39" s="120">
        <f t="shared" si="14"/>
        <v>0</v>
      </c>
      <c r="O39" s="120" t="str">
        <f t="shared" si="36"/>
        <v/>
      </c>
      <c r="P39" s="294">
        <f t="shared" si="15"/>
        <v>0</v>
      </c>
      <c r="Q39" s="120">
        <v>36</v>
      </c>
      <c r="R39" s="120">
        <f t="shared" si="37"/>
        <v>50</v>
      </c>
      <c r="S39" s="122">
        <v>1</v>
      </c>
      <c r="T39" s="122">
        <f t="shared" si="45"/>
        <v>0</v>
      </c>
      <c r="U39" s="120">
        <f>SUMIF(P39:P$53,P39,S39:S$53)</f>
        <v>15</v>
      </c>
      <c r="V39" s="120">
        <f t="shared" si="3"/>
        <v>0</v>
      </c>
      <c r="W39" s="120">
        <f t="shared" si="17"/>
        <v>1</v>
      </c>
      <c r="X39" s="120">
        <f t="shared" si="18"/>
        <v>0</v>
      </c>
      <c r="Y39" s="120">
        <f t="shared" si="19"/>
        <v>0</v>
      </c>
      <c r="Z39" s="120"/>
      <c r="AA39" s="120">
        <f t="shared" si="38"/>
        <v>0</v>
      </c>
      <c r="AB39" s="268" t="str">
        <f t="shared" si="32"/>
        <v/>
      </c>
      <c r="AC39" s="268" t="str">
        <f t="shared" si="39"/>
        <v/>
      </c>
      <c r="AD39" s="268" t="str">
        <f t="shared" si="40"/>
        <v/>
      </c>
      <c r="AE39" s="268" t="str">
        <f t="shared" si="33"/>
        <v/>
      </c>
      <c r="AF39" s="330">
        <f t="shared" si="22"/>
        <v>0</v>
      </c>
      <c r="AG39" s="275" t="str">
        <f t="shared" si="41"/>
        <v/>
      </c>
      <c r="AH39" s="275" t="str">
        <f t="shared" si="42"/>
        <v/>
      </c>
      <c r="AI39" s="275" t="str">
        <f t="shared" si="43"/>
        <v/>
      </c>
      <c r="AJ39" s="120" t="str">
        <f t="shared" si="23"/>
        <v/>
      </c>
      <c r="AK39" s="120" t="str">
        <f t="shared" si="24"/>
        <v/>
      </c>
      <c r="AL39" s="120">
        <f t="shared" si="25"/>
        <v>0</v>
      </c>
      <c r="AM39" s="120">
        <f t="shared" si="44"/>
        <v>0</v>
      </c>
      <c r="AN39" s="120">
        <f t="shared" si="27"/>
        <v>0</v>
      </c>
      <c r="AO39" s="120">
        <f t="shared" si="28"/>
        <v>0</v>
      </c>
      <c r="AP39" s="120">
        <f t="shared" si="29"/>
        <v>0</v>
      </c>
      <c r="AQ39" s="120">
        <f t="shared" si="30"/>
        <v>0</v>
      </c>
      <c r="AR39" s="120">
        <f t="shared" si="31"/>
        <v>0</v>
      </c>
    </row>
    <row r="40" spans="1:44" x14ac:dyDescent="0.15">
      <c r="A40" s="307">
        <v>37</v>
      </c>
      <c r="B40" s="282"/>
      <c r="C40" s="282"/>
      <c r="D40" s="606"/>
      <c r="E40" s="607"/>
      <c r="F40" s="607"/>
      <c r="G40" s="282"/>
      <c r="H40" s="610"/>
      <c r="I40" s="61">
        <f t="shared" si="11"/>
        <v>0</v>
      </c>
      <c r="J40" s="55">
        <f t="shared" si="12"/>
        <v>0</v>
      </c>
      <c r="K40" s="55">
        <f t="shared" si="13"/>
        <v>0</v>
      </c>
      <c r="M40" s="120">
        <f t="shared" si="35"/>
        <v>0</v>
      </c>
      <c r="N40" s="120">
        <f t="shared" si="14"/>
        <v>0</v>
      </c>
      <c r="O40" s="120" t="str">
        <f t="shared" si="36"/>
        <v/>
      </c>
      <c r="P40" s="294">
        <f t="shared" si="15"/>
        <v>0</v>
      </c>
      <c r="Q40" s="120">
        <v>37</v>
      </c>
      <c r="R40" s="120">
        <f t="shared" si="37"/>
        <v>50</v>
      </c>
      <c r="S40" s="122">
        <v>1</v>
      </c>
      <c r="T40" s="122">
        <f t="shared" si="45"/>
        <v>0</v>
      </c>
      <c r="U40" s="120">
        <f>SUMIF(P40:P$53,P40,S40:S$53)</f>
        <v>14</v>
      </c>
      <c r="V40" s="120">
        <f t="shared" si="3"/>
        <v>0</v>
      </c>
      <c r="W40" s="120">
        <f t="shared" si="17"/>
        <v>1</v>
      </c>
      <c r="X40" s="120">
        <f t="shared" si="18"/>
        <v>0</v>
      </c>
      <c r="Y40" s="120">
        <f t="shared" si="19"/>
        <v>0</v>
      </c>
      <c r="Z40" s="120"/>
      <c r="AA40" s="120">
        <f t="shared" si="38"/>
        <v>0</v>
      </c>
      <c r="AB40" s="268" t="str">
        <f t="shared" si="32"/>
        <v/>
      </c>
      <c r="AC40" s="268" t="str">
        <f t="shared" si="39"/>
        <v/>
      </c>
      <c r="AD40" s="268" t="str">
        <f t="shared" si="40"/>
        <v/>
      </c>
      <c r="AE40" s="268" t="str">
        <f t="shared" si="33"/>
        <v/>
      </c>
      <c r="AF40" s="330">
        <f t="shared" si="22"/>
        <v>0</v>
      </c>
      <c r="AG40" s="275" t="str">
        <f t="shared" si="41"/>
        <v/>
      </c>
      <c r="AH40" s="275" t="str">
        <f t="shared" si="42"/>
        <v/>
      </c>
      <c r="AI40" s="275" t="str">
        <f t="shared" si="43"/>
        <v/>
      </c>
      <c r="AJ40" s="120" t="str">
        <f t="shared" si="23"/>
        <v/>
      </c>
      <c r="AK40" s="120" t="str">
        <f t="shared" si="24"/>
        <v/>
      </c>
      <c r="AL40" s="120">
        <f t="shared" si="25"/>
        <v>0</v>
      </c>
      <c r="AM40" s="120">
        <f t="shared" si="44"/>
        <v>0</v>
      </c>
      <c r="AN40" s="120">
        <f t="shared" si="27"/>
        <v>0</v>
      </c>
      <c r="AO40" s="120">
        <f t="shared" si="28"/>
        <v>0</v>
      </c>
      <c r="AP40" s="120">
        <f t="shared" si="29"/>
        <v>0</v>
      </c>
      <c r="AQ40" s="120">
        <f t="shared" si="30"/>
        <v>0</v>
      </c>
      <c r="AR40" s="120">
        <f t="shared" si="31"/>
        <v>0</v>
      </c>
    </row>
    <row r="41" spans="1:44" x14ac:dyDescent="0.15">
      <c r="A41" s="307">
        <v>38</v>
      </c>
      <c r="B41" s="282"/>
      <c r="C41" s="282"/>
      <c r="D41" s="606"/>
      <c r="E41" s="607"/>
      <c r="F41" s="607"/>
      <c r="G41" s="282"/>
      <c r="H41" s="610"/>
      <c r="I41" s="61">
        <f t="shared" si="11"/>
        <v>0</v>
      </c>
      <c r="J41" s="55">
        <f t="shared" si="12"/>
        <v>0</v>
      </c>
      <c r="K41" s="55">
        <f t="shared" si="13"/>
        <v>0</v>
      </c>
      <c r="M41" s="120">
        <f t="shared" si="35"/>
        <v>0</v>
      </c>
      <c r="N41" s="120">
        <f t="shared" si="14"/>
        <v>0</v>
      </c>
      <c r="O41" s="120" t="str">
        <f t="shared" si="36"/>
        <v/>
      </c>
      <c r="P41" s="294">
        <f t="shared" si="15"/>
        <v>0</v>
      </c>
      <c r="Q41" s="120">
        <v>38</v>
      </c>
      <c r="R41" s="120">
        <f t="shared" si="37"/>
        <v>50</v>
      </c>
      <c r="S41" s="122">
        <v>1</v>
      </c>
      <c r="T41" s="122">
        <f t="shared" si="45"/>
        <v>0</v>
      </c>
      <c r="U41" s="120">
        <f>SUMIF(P41:P$53,P41,S41:S$53)</f>
        <v>13</v>
      </c>
      <c r="V41" s="120">
        <f t="shared" si="3"/>
        <v>0</v>
      </c>
      <c r="W41" s="120">
        <f t="shared" si="17"/>
        <v>1</v>
      </c>
      <c r="X41" s="120">
        <f t="shared" si="18"/>
        <v>0</v>
      </c>
      <c r="Y41" s="120">
        <f t="shared" si="19"/>
        <v>0</v>
      </c>
      <c r="Z41" s="120"/>
      <c r="AA41" s="120">
        <f t="shared" si="38"/>
        <v>0</v>
      </c>
      <c r="AB41" s="268" t="str">
        <f t="shared" si="32"/>
        <v/>
      </c>
      <c r="AC41" s="268" t="str">
        <f t="shared" si="39"/>
        <v/>
      </c>
      <c r="AD41" s="268" t="str">
        <f t="shared" si="40"/>
        <v/>
      </c>
      <c r="AE41" s="268" t="str">
        <f t="shared" si="33"/>
        <v/>
      </c>
      <c r="AF41" s="330">
        <f t="shared" si="22"/>
        <v>0</v>
      </c>
      <c r="AG41" s="275" t="str">
        <f t="shared" si="41"/>
        <v/>
      </c>
      <c r="AH41" s="275" t="str">
        <f t="shared" si="42"/>
        <v/>
      </c>
      <c r="AI41" s="275" t="str">
        <f t="shared" si="43"/>
        <v/>
      </c>
      <c r="AJ41" s="120" t="str">
        <f t="shared" si="23"/>
        <v/>
      </c>
      <c r="AK41" s="120" t="str">
        <f t="shared" si="24"/>
        <v/>
      </c>
      <c r="AL41" s="120">
        <f t="shared" si="25"/>
        <v>0</v>
      </c>
      <c r="AM41" s="120">
        <f t="shared" si="44"/>
        <v>0</v>
      </c>
      <c r="AN41" s="120">
        <f t="shared" si="27"/>
        <v>0</v>
      </c>
      <c r="AO41" s="120">
        <f t="shared" si="28"/>
        <v>0</v>
      </c>
      <c r="AP41" s="120">
        <f t="shared" si="29"/>
        <v>0</v>
      </c>
      <c r="AQ41" s="120">
        <f t="shared" si="30"/>
        <v>0</v>
      </c>
      <c r="AR41" s="120">
        <f t="shared" si="31"/>
        <v>0</v>
      </c>
    </row>
    <row r="42" spans="1:44" x14ac:dyDescent="0.15">
      <c r="A42" s="307">
        <v>39</v>
      </c>
      <c r="B42" s="282"/>
      <c r="C42" s="282"/>
      <c r="D42" s="606"/>
      <c r="E42" s="607"/>
      <c r="F42" s="607"/>
      <c r="G42" s="282"/>
      <c r="H42" s="610"/>
      <c r="I42" s="61">
        <f t="shared" si="11"/>
        <v>0</v>
      </c>
      <c r="J42" s="55">
        <f t="shared" si="12"/>
        <v>0</v>
      </c>
      <c r="K42" s="55">
        <f t="shared" si="13"/>
        <v>0</v>
      </c>
      <c r="M42" s="120">
        <f t="shared" si="35"/>
        <v>0</v>
      </c>
      <c r="N42" s="120">
        <f t="shared" si="14"/>
        <v>0</v>
      </c>
      <c r="O42" s="120" t="str">
        <f t="shared" si="36"/>
        <v/>
      </c>
      <c r="P42" s="294">
        <f t="shared" si="15"/>
        <v>0</v>
      </c>
      <c r="Q42" s="120">
        <v>39</v>
      </c>
      <c r="R42" s="120">
        <f t="shared" si="37"/>
        <v>50</v>
      </c>
      <c r="S42" s="122">
        <v>1</v>
      </c>
      <c r="T42" s="122">
        <f t="shared" si="45"/>
        <v>0</v>
      </c>
      <c r="U42" s="120">
        <f>SUMIF(P42:P$53,P42,S42:S$53)</f>
        <v>12</v>
      </c>
      <c r="V42" s="120">
        <f t="shared" si="3"/>
        <v>0</v>
      </c>
      <c r="W42" s="120">
        <f t="shared" si="17"/>
        <v>1</v>
      </c>
      <c r="X42" s="120">
        <f t="shared" si="18"/>
        <v>0</v>
      </c>
      <c r="Y42" s="120">
        <f t="shared" si="19"/>
        <v>0</v>
      </c>
      <c r="Z42" s="120"/>
      <c r="AA42" s="120">
        <f t="shared" si="38"/>
        <v>0</v>
      </c>
      <c r="AB42" s="268" t="str">
        <f t="shared" si="32"/>
        <v/>
      </c>
      <c r="AC42" s="268" t="str">
        <f t="shared" si="39"/>
        <v/>
      </c>
      <c r="AD42" s="268" t="str">
        <f t="shared" si="40"/>
        <v/>
      </c>
      <c r="AE42" s="268" t="str">
        <f t="shared" si="33"/>
        <v/>
      </c>
      <c r="AF42" s="330">
        <f t="shared" si="22"/>
        <v>0</v>
      </c>
      <c r="AG42" s="275" t="str">
        <f t="shared" si="41"/>
        <v/>
      </c>
      <c r="AH42" s="275" t="str">
        <f t="shared" si="42"/>
        <v/>
      </c>
      <c r="AI42" s="275" t="str">
        <f t="shared" si="43"/>
        <v/>
      </c>
      <c r="AJ42" s="120" t="str">
        <f t="shared" si="23"/>
        <v/>
      </c>
      <c r="AK42" s="120" t="str">
        <f t="shared" si="24"/>
        <v/>
      </c>
      <c r="AL42" s="120">
        <f t="shared" si="25"/>
        <v>0</v>
      </c>
      <c r="AM42" s="120">
        <f t="shared" si="44"/>
        <v>0</v>
      </c>
      <c r="AN42" s="120">
        <f t="shared" si="27"/>
        <v>0</v>
      </c>
      <c r="AO42" s="120">
        <f t="shared" si="28"/>
        <v>0</v>
      </c>
      <c r="AP42" s="120">
        <f t="shared" si="29"/>
        <v>0</v>
      </c>
      <c r="AQ42" s="120">
        <f t="shared" si="30"/>
        <v>0</v>
      </c>
      <c r="AR42" s="120">
        <f t="shared" si="31"/>
        <v>0</v>
      </c>
    </row>
    <row r="43" spans="1:44" x14ac:dyDescent="0.15">
      <c r="A43" s="307">
        <v>40</v>
      </c>
      <c r="B43" s="282"/>
      <c r="C43" s="282"/>
      <c r="D43" s="606"/>
      <c r="E43" s="607"/>
      <c r="F43" s="607"/>
      <c r="G43" s="282"/>
      <c r="H43" s="610"/>
      <c r="I43" s="61">
        <f t="shared" si="11"/>
        <v>0</v>
      </c>
      <c r="J43" s="55">
        <f t="shared" si="12"/>
        <v>0</v>
      </c>
      <c r="K43" s="55">
        <f t="shared" si="13"/>
        <v>0</v>
      </c>
      <c r="M43" s="120">
        <f t="shared" si="35"/>
        <v>0</v>
      </c>
      <c r="N43" s="120">
        <f t="shared" si="14"/>
        <v>0</v>
      </c>
      <c r="O43" s="120" t="str">
        <f t="shared" si="36"/>
        <v/>
      </c>
      <c r="P43" s="294">
        <f t="shared" si="15"/>
        <v>0</v>
      </c>
      <c r="Q43" s="120">
        <v>40</v>
      </c>
      <c r="R43" s="120">
        <f t="shared" si="37"/>
        <v>50</v>
      </c>
      <c r="S43" s="122">
        <v>1</v>
      </c>
      <c r="T43" s="122">
        <f t="shared" si="45"/>
        <v>0</v>
      </c>
      <c r="U43" s="120">
        <f>SUMIF(P43:P$53,P43,S43:S$53)</f>
        <v>11</v>
      </c>
      <c r="V43" s="120">
        <f t="shared" si="3"/>
        <v>0</v>
      </c>
      <c r="W43" s="120">
        <f t="shared" si="17"/>
        <v>1</v>
      </c>
      <c r="X43" s="120">
        <f t="shared" si="18"/>
        <v>0</v>
      </c>
      <c r="Y43" s="120">
        <f t="shared" si="19"/>
        <v>0</v>
      </c>
      <c r="Z43" s="120"/>
      <c r="AA43" s="120">
        <f t="shared" si="38"/>
        <v>0</v>
      </c>
      <c r="AB43" s="268" t="str">
        <f t="shared" si="32"/>
        <v/>
      </c>
      <c r="AC43" s="268" t="str">
        <f t="shared" si="39"/>
        <v/>
      </c>
      <c r="AD43" s="268" t="str">
        <f t="shared" si="40"/>
        <v/>
      </c>
      <c r="AE43" s="268" t="str">
        <f t="shared" si="33"/>
        <v/>
      </c>
      <c r="AF43" s="330">
        <f t="shared" si="22"/>
        <v>0</v>
      </c>
      <c r="AG43" s="275" t="str">
        <f t="shared" si="41"/>
        <v/>
      </c>
      <c r="AH43" s="275" t="str">
        <f t="shared" si="42"/>
        <v/>
      </c>
      <c r="AI43" s="275" t="str">
        <f t="shared" si="43"/>
        <v/>
      </c>
      <c r="AJ43" s="120" t="str">
        <f t="shared" si="23"/>
        <v/>
      </c>
      <c r="AK43" s="120" t="str">
        <f t="shared" si="24"/>
        <v/>
      </c>
      <c r="AL43" s="120">
        <f t="shared" si="25"/>
        <v>0</v>
      </c>
      <c r="AM43" s="120">
        <f t="shared" si="44"/>
        <v>0</v>
      </c>
      <c r="AN43" s="120">
        <f t="shared" si="27"/>
        <v>0</v>
      </c>
      <c r="AO43" s="120">
        <f t="shared" si="28"/>
        <v>0</v>
      </c>
      <c r="AP43" s="120">
        <f t="shared" si="29"/>
        <v>0</v>
      </c>
      <c r="AQ43" s="120">
        <f t="shared" si="30"/>
        <v>0</v>
      </c>
      <c r="AR43" s="120">
        <f t="shared" si="31"/>
        <v>0</v>
      </c>
    </row>
    <row r="44" spans="1:44" x14ac:dyDescent="0.15">
      <c r="A44" s="307">
        <v>41</v>
      </c>
      <c r="B44" s="282"/>
      <c r="C44" s="282"/>
      <c r="D44" s="606"/>
      <c r="E44" s="607"/>
      <c r="F44" s="607"/>
      <c r="G44" s="282"/>
      <c r="H44" s="610"/>
      <c r="I44" s="61">
        <f t="shared" si="11"/>
        <v>0</v>
      </c>
      <c r="J44" s="55">
        <f t="shared" si="12"/>
        <v>0</v>
      </c>
      <c r="K44" s="55">
        <f t="shared" si="13"/>
        <v>0</v>
      </c>
      <c r="M44" s="120">
        <f t="shared" si="35"/>
        <v>0</v>
      </c>
      <c r="N44" s="120">
        <f t="shared" si="14"/>
        <v>0</v>
      </c>
      <c r="O44" s="120" t="str">
        <f t="shared" si="36"/>
        <v/>
      </c>
      <c r="P44" s="294">
        <f t="shared" si="15"/>
        <v>0</v>
      </c>
      <c r="Q44" s="120">
        <v>41</v>
      </c>
      <c r="R44" s="120">
        <f t="shared" si="37"/>
        <v>50</v>
      </c>
      <c r="S44" s="122">
        <v>1</v>
      </c>
      <c r="T44" s="122">
        <f t="shared" si="45"/>
        <v>0</v>
      </c>
      <c r="U44" s="120">
        <f>SUMIF(P44:P$53,P44,S44:S$53)</f>
        <v>10</v>
      </c>
      <c r="V44" s="120">
        <f t="shared" si="3"/>
        <v>0</v>
      </c>
      <c r="W44" s="120">
        <f t="shared" si="17"/>
        <v>1</v>
      </c>
      <c r="X44" s="120">
        <f t="shared" si="18"/>
        <v>0</v>
      </c>
      <c r="Y44" s="120">
        <f t="shared" si="19"/>
        <v>0</v>
      </c>
      <c r="Z44" s="120"/>
      <c r="AA44" s="120">
        <f t="shared" si="38"/>
        <v>0</v>
      </c>
      <c r="AB44" s="268" t="str">
        <f t="shared" si="32"/>
        <v/>
      </c>
      <c r="AC44" s="268" t="str">
        <f t="shared" si="39"/>
        <v/>
      </c>
      <c r="AD44" s="268" t="str">
        <f t="shared" si="40"/>
        <v/>
      </c>
      <c r="AE44" s="268" t="str">
        <f t="shared" si="33"/>
        <v/>
      </c>
      <c r="AF44" s="330">
        <f t="shared" si="22"/>
        <v>0</v>
      </c>
      <c r="AG44" s="275" t="str">
        <f t="shared" si="41"/>
        <v/>
      </c>
      <c r="AH44" s="275" t="str">
        <f t="shared" si="42"/>
        <v/>
      </c>
      <c r="AI44" s="275" t="str">
        <f t="shared" si="43"/>
        <v/>
      </c>
      <c r="AJ44" s="120" t="str">
        <f t="shared" si="23"/>
        <v/>
      </c>
      <c r="AK44" s="120" t="str">
        <f t="shared" si="24"/>
        <v/>
      </c>
      <c r="AL44" s="120">
        <f t="shared" si="25"/>
        <v>0</v>
      </c>
      <c r="AM44" s="120">
        <f t="shared" si="44"/>
        <v>0</v>
      </c>
      <c r="AN44" s="120">
        <f t="shared" si="27"/>
        <v>0</v>
      </c>
      <c r="AO44" s="120">
        <f t="shared" si="28"/>
        <v>0</v>
      </c>
      <c r="AP44" s="120">
        <f t="shared" si="29"/>
        <v>0</v>
      </c>
      <c r="AQ44" s="120">
        <f t="shared" si="30"/>
        <v>0</v>
      </c>
      <c r="AR44" s="120">
        <f t="shared" si="31"/>
        <v>0</v>
      </c>
    </row>
    <row r="45" spans="1:44" x14ac:dyDescent="0.15">
      <c r="A45" s="307">
        <v>42</v>
      </c>
      <c r="B45" s="282"/>
      <c r="C45" s="282"/>
      <c r="D45" s="606"/>
      <c r="E45" s="607"/>
      <c r="F45" s="607"/>
      <c r="G45" s="282"/>
      <c r="H45" s="610"/>
      <c r="I45" s="61">
        <f t="shared" si="11"/>
        <v>0</v>
      </c>
      <c r="J45" s="55">
        <f t="shared" si="12"/>
        <v>0</v>
      </c>
      <c r="K45" s="55">
        <f t="shared" si="13"/>
        <v>0</v>
      </c>
      <c r="M45" s="120">
        <f t="shared" si="35"/>
        <v>0</v>
      </c>
      <c r="N45" s="120">
        <f t="shared" si="14"/>
        <v>0</v>
      </c>
      <c r="O45" s="120" t="str">
        <f t="shared" si="36"/>
        <v/>
      </c>
      <c r="P45" s="294">
        <f t="shared" si="15"/>
        <v>0</v>
      </c>
      <c r="Q45" s="120">
        <v>42</v>
      </c>
      <c r="R45" s="120">
        <f t="shared" si="37"/>
        <v>50</v>
      </c>
      <c r="S45" s="122">
        <v>1</v>
      </c>
      <c r="T45" s="122">
        <f t="shared" si="45"/>
        <v>0</v>
      </c>
      <c r="U45" s="120">
        <f>SUMIF(P45:P$53,P45,S45:S$53)</f>
        <v>9</v>
      </c>
      <c r="V45" s="120">
        <f t="shared" si="3"/>
        <v>0</v>
      </c>
      <c r="W45" s="120">
        <f t="shared" si="17"/>
        <v>1</v>
      </c>
      <c r="X45" s="120">
        <f t="shared" si="18"/>
        <v>0</v>
      </c>
      <c r="Y45" s="120">
        <f t="shared" si="19"/>
        <v>0</v>
      </c>
      <c r="Z45" s="120"/>
      <c r="AA45" s="120">
        <f t="shared" si="38"/>
        <v>0</v>
      </c>
      <c r="AB45" s="268" t="str">
        <f t="shared" si="32"/>
        <v/>
      </c>
      <c r="AC45" s="268" t="str">
        <f t="shared" si="39"/>
        <v/>
      </c>
      <c r="AD45" s="268" t="str">
        <f t="shared" si="40"/>
        <v/>
      </c>
      <c r="AE45" s="268" t="str">
        <f t="shared" si="33"/>
        <v/>
      </c>
      <c r="AF45" s="330">
        <f t="shared" si="22"/>
        <v>0</v>
      </c>
      <c r="AG45" s="275" t="str">
        <f t="shared" si="41"/>
        <v/>
      </c>
      <c r="AH45" s="275" t="str">
        <f t="shared" si="42"/>
        <v/>
      </c>
      <c r="AI45" s="275" t="str">
        <f t="shared" si="43"/>
        <v/>
      </c>
      <c r="AJ45" s="120" t="str">
        <f t="shared" si="23"/>
        <v/>
      </c>
      <c r="AK45" s="120" t="str">
        <f t="shared" si="24"/>
        <v/>
      </c>
      <c r="AL45" s="120">
        <f t="shared" si="25"/>
        <v>0</v>
      </c>
      <c r="AM45" s="120">
        <f t="shared" si="44"/>
        <v>0</v>
      </c>
      <c r="AN45" s="120">
        <f t="shared" si="27"/>
        <v>0</v>
      </c>
      <c r="AO45" s="120">
        <f t="shared" si="28"/>
        <v>0</v>
      </c>
      <c r="AP45" s="120">
        <f t="shared" si="29"/>
        <v>0</v>
      </c>
      <c r="AQ45" s="120">
        <f t="shared" si="30"/>
        <v>0</v>
      </c>
      <c r="AR45" s="120">
        <f t="shared" si="31"/>
        <v>0</v>
      </c>
    </row>
    <row r="46" spans="1:44" x14ac:dyDescent="0.15">
      <c r="A46" s="307">
        <v>43</v>
      </c>
      <c r="B46" s="282"/>
      <c r="C46" s="282"/>
      <c r="D46" s="606"/>
      <c r="E46" s="607"/>
      <c r="F46" s="607"/>
      <c r="G46" s="282"/>
      <c r="H46" s="610"/>
      <c r="I46" s="61">
        <f t="shared" si="11"/>
        <v>0</v>
      </c>
      <c r="J46" s="55">
        <f t="shared" si="12"/>
        <v>0</v>
      </c>
      <c r="K46" s="55">
        <f t="shared" si="13"/>
        <v>0</v>
      </c>
      <c r="M46" s="120">
        <f t="shared" si="35"/>
        <v>0</v>
      </c>
      <c r="N46" s="120">
        <f t="shared" si="14"/>
        <v>0</v>
      </c>
      <c r="O46" s="120" t="str">
        <f t="shared" si="36"/>
        <v/>
      </c>
      <c r="P46" s="294">
        <f t="shared" si="15"/>
        <v>0</v>
      </c>
      <c r="Q46" s="120">
        <v>43</v>
      </c>
      <c r="R46" s="120">
        <f t="shared" si="37"/>
        <v>50</v>
      </c>
      <c r="S46" s="122">
        <v>1</v>
      </c>
      <c r="T46" s="122">
        <f t="shared" si="45"/>
        <v>0</v>
      </c>
      <c r="U46" s="120">
        <f>SUMIF(P46:P$53,P46,S46:S$53)</f>
        <v>8</v>
      </c>
      <c r="V46" s="120">
        <f t="shared" si="3"/>
        <v>0</v>
      </c>
      <c r="W46" s="120">
        <f t="shared" si="17"/>
        <v>1</v>
      </c>
      <c r="X46" s="120">
        <f t="shared" si="18"/>
        <v>0</v>
      </c>
      <c r="Y46" s="120">
        <f t="shared" si="19"/>
        <v>0</v>
      </c>
      <c r="Z46" s="120"/>
      <c r="AA46" s="120">
        <f t="shared" si="38"/>
        <v>0</v>
      </c>
      <c r="AB46" s="268" t="str">
        <f t="shared" si="32"/>
        <v/>
      </c>
      <c r="AC46" s="268" t="str">
        <f t="shared" si="39"/>
        <v/>
      </c>
      <c r="AD46" s="268" t="str">
        <f t="shared" si="40"/>
        <v/>
      </c>
      <c r="AE46" s="268" t="str">
        <f t="shared" si="33"/>
        <v/>
      </c>
      <c r="AF46" s="330">
        <f t="shared" si="22"/>
        <v>0</v>
      </c>
      <c r="AG46" s="275" t="str">
        <f t="shared" si="41"/>
        <v/>
      </c>
      <c r="AH46" s="275" t="str">
        <f t="shared" si="42"/>
        <v/>
      </c>
      <c r="AI46" s="275" t="str">
        <f t="shared" si="43"/>
        <v/>
      </c>
      <c r="AJ46" s="120" t="str">
        <f t="shared" si="23"/>
        <v/>
      </c>
      <c r="AK46" s="120" t="str">
        <f t="shared" si="24"/>
        <v/>
      </c>
      <c r="AL46" s="120">
        <f t="shared" si="25"/>
        <v>0</v>
      </c>
      <c r="AM46" s="120">
        <f t="shared" si="44"/>
        <v>0</v>
      </c>
      <c r="AN46" s="120">
        <f t="shared" si="27"/>
        <v>0</v>
      </c>
      <c r="AO46" s="120">
        <f t="shared" si="28"/>
        <v>0</v>
      </c>
      <c r="AP46" s="120">
        <f t="shared" si="29"/>
        <v>0</v>
      </c>
      <c r="AQ46" s="120">
        <f t="shared" si="30"/>
        <v>0</v>
      </c>
      <c r="AR46" s="120">
        <f t="shared" si="31"/>
        <v>0</v>
      </c>
    </row>
    <row r="47" spans="1:44" x14ac:dyDescent="0.15">
      <c r="A47" s="307">
        <v>44</v>
      </c>
      <c r="B47" s="282"/>
      <c r="C47" s="282"/>
      <c r="D47" s="606"/>
      <c r="E47" s="607"/>
      <c r="F47" s="607"/>
      <c r="G47" s="282"/>
      <c r="H47" s="610"/>
      <c r="I47" s="61">
        <f t="shared" si="11"/>
        <v>0</v>
      </c>
      <c r="J47" s="55">
        <f t="shared" si="12"/>
        <v>0</v>
      </c>
      <c r="K47" s="55">
        <f t="shared" si="13"/>
        <v>0</v>
      </c>
      <c r="M47" s="120">
        <f t="shared" si="35"/>
        <v>0</v>
      </c>
      <c r="N47" s="120">
        <f t="shared" si="14"/>
        <v>0</v>
      </c>
      <c r="O47" s="120" t="str">
        <f t="shared" si="36"/>
        <v/>
      </c>
      <c r="P47" s="294">
        <f t="shared" si="15"/>
        <v>0</v>
      </c>
      <c r="Q47" s="120">
        <v>44</v>
      </c>
      <c r="R47" s="120">
        <f t="shared" si="37"/>
        <v>50</v>
      </c>
      <c r="S47" s="122">
        <v>1</v>
      </c>
      <c r="T47" s="122">
        <f t="shared" si="45"/>
        <v>0</v>
      </c>
      <c r="U47" s="120">
        <f>SUMIF(P47:P$53,P47,S47:S$53)</f>
        <v>7</v>
      </c>
      <c r="V47" s="120">
        <f t="shared" si="3"/>
        <v>0</v>
      </c>
      <c r="W47" s="120">
        <f t="shared" si="17"/>
        <v>1</v>
      </c>
      <c r="X47" s="120">
        <f t="shared" si="18"/>
        <v>0</v>
      </c>
      <c r="Y47" s="120">
        <f t="shared" si="19"/>
        <v>0</v>
      </c>
      <c r="Z47" s="120"/>
      <c r="AA47" s="120">
        <f t="shared" si="38"/>
        <v>0</v>
      </c>
      <c r="AB47" s="268" t="str">
        <f t="shared" si="32"/>
        <v/>
      </c>
      <c r="AC47" s="268" t="str">
        <f t="shared" si="39"/>
        <v/>
      </c>
      <c r="AD47" s="268" t="str">
        <f t="shared" si="40"/>
        <v/>
      </c>
      <c r="AE47" s="268" t="str">
        <f t="shared" si="33"/>
        <v/>
      </c>
      <c r="AF47" s="330">
        <f t="shared" si="22"/>
        <v>0</v>
      </c>
      <c r="AG47" s="275" t="str">
        <f t="shared" si="41"/>
        <v/>
      </c>
      <c r="AH47" s="275" t="str">
        <f t="shared" si="42"/>
        <v/>
      </c>
      <c r="AI47" s="275" t="str">
        <f t="shared" si="43"/>
        <v/>
      </c>
      <c r="AJ47" s="120" t="str">
        <f t="shared" si="23"/>
        <v/>
      </c>
      <c r="AK47" s="120" t="str">
        <f t="shared" si="24"/>
        <v/>
      </c>
      <c r="AL47" s="120">
        <f t="shared" si="25"/>
        <v>0</v>
      </c>
      <c r="AM47" s="120">
        <f t="shared" si="44"/>
        <v>0</v>
      </c>
      <c r="AN47" s="120">
        <f t="shared" si="27"/>
        <v>0</v>
      </c>
      <c r="AO47" s="120">
        <f t="shared" si="28"/>
        <v>0</v>
      </c>
      <c r="AP47" s="120">
        <f t="shared" si="29"/>
        <v>0</v>
      </c>
      <c r="AQ47" s="120">
        <f t="shared" si="30"/>
        <v>0</v>
      </c>
      <c r="AR47" s="120">
        <f t="shared" si="31"/>
        <v>0</v>
      </c>
    </row>
    <row r="48" spans="1:44" x14ac:dyDescent="0.15">
      <c r="A48" s="307">
        <v>45</v>
      </c>
      <c r="B48" s="282"/>
      <c r="C48" s="282"/>
      <c r="D48" s="606"/>
      <c r="E48" s="607"/>
      <c r="F48" s="607"/>
      <c r="G48" s="282"/>
      <c r="H48" s="610"/>
      <c r="I48" s="61">
        <f t="shared" si="11"/>
        <v>0</v>
      </c>
      <c r="J48" s="55">
        <f t="shared" si="12"/>
        <v>0</v>
      </c>
      <c r="K48" s="55">
        <f t="shared" si="13"/>
        <v>0</v>
      </c>
      <c r="M48" s="120">
        <f t="shared" si="35"/>
        <v>0</v>
      </c>
      <c r="N48" s="120">
        <f t="shared" si="14"/>
        <v>0</v>
      </c>
      <c r="O48" s="120" t="str">
        <f t="shared" si="36"/>
        <v/>
      </c>
      <c r="P48" s="294">
        <f t="shared" si="15"/>
        <v>0</v>
      </c>
      <c r="Q48" s="120">
        <v>45</v>
      </c>
      <c r="R48" s="120">
        <f t="shared" si="37"/>
        <v>50</v>
      </c>
      <c r="S48" s="122">
        <v>1</v>
      </c>
      <c r="T48" s="122">
        <f t="shared" si="45"/>
        <v>0</v>
      </c>
      <c r="U48" s="120">
        <f>SUMIF(P48:P$53,P48,S48:S$53)</f>
        <v>6</v>
      </c>
      <c r="V48" s="120">
        <f t="shared" si="3"/>
        <v>0</v>
      </c>
      <c r="W48" s="120">
        <f t="shared" si="17"/>
        <v>1</v>
      </c>
      <c r="X48" s="120">
        <f t="shared" si="18"/>
        <v>0</v>
      </c>
      <c r="Y48" s="120">
        <f t="shared" si="19"/>
        <v>0</v>
      </c>
      <c r="Z48" s="120"/>
      <c r="AA48" s="120">
        <f t="shared" si="38"/>
        <v>0</v>
      </c>
      <c r="AB48" s="268" t="str">
        <f t="shared" si="32"/>
        <v/>
      </c>
      <c r="AC48" s="268" t="str">
        <f t="shared" si="39"/>
        <v/>
      </c>
      <c r="AD48" s="268" t="str">
        <f t="shared" si="40"/>
        <v/>
      </c>
      <c r="AE48" s="268" t="str">
        <f t="shared" si="33"/>
        <v/>
      </c>
      <c r="AF48" s="330">
        <f t="shared" si="22"/>
        <v>0</v>
      </c>
      <c r="AG48" s="275" t="str">
        <f t="shared" si="41"/>
        <v/>
      </c>
      <c r="AH48" s="275" t="str">
        <f t="shared" si="42"/>
        <v/>
      </c>
      <c r="AI48" s="275" t="str">
        <f t="shared" si="43"/>
        <v/>
      </c>
      <c r="AJ48" s="120" t="str">
        <f t="shared" si="23"/>
        <v/>
      </c>
      <c r="AK48" s="120" t="str">
        <f t="shared" si="24"/>
        <v/>
      </c>
      <c r="AL48" s="120">
        <f t="shared" si="25"/>
        <v>0</v>
      </c>
      <c r="AM48" s="120">
        <f t="shared" si="44"/>
        <v>0</v>
      </c>
      <c r="AN48" s="120">
        <f t="shared" si="27"/>
        <v>0</v>
      </c>
      <c r="AO48" s="120">
        <f t="shared" si="28"/>
        <v>0</v>
      </c>
      <c r="AP48" s="120">
        <f t="shared" si="29"/>
        <v>0</v>
      </c>
      <c r="AQ48" s="120">
        <f t="shared" si="30"/>
        <v>0</v>
      </c>
      <c r="AR48" s="120">
        <f t="shared" si="31"/>
        <v>0</v>
      </c>
    </row>
    <row r="49" spans="1:44" x14ac:dyDescent="0.15">
      <c r="A49" s="307">
        <v>46</v>
      </c>
      <c r="B49" s="282"/>
      <c r="C49" s="282"/>
      <c r="D49" s="606"/>
      <c r="E49" s="607"/>
      <c r="F49" s="607"/>
      <c r="G49" s="282"/>
      <c r="H49" s="610"/>
      <c r="I49" s="61">
        <f t="shared" si="11"/>
        <v>0</v>
      </c>
      <c r="J49" s="55">
        <f t="shared" si="12"/>
        <v>0</v>
      </c>
      <c r="K49" s="55">
        <f t="shared" si="13"/>
        <v>0</v>
      </c>
      <c r="M49" s="120">
        <f t="shared" si="35"/>
        <v>0</v>
      </c>
      <c r="N49" s="120">
        <f t="shared" si="14"/>
        <v>0</v>
      </c>
      <c r="O49" s="120" t="str">
        <f t="shared" si="36"/>
        <v/>
      </c>
      <c r="P49" s="294">
        <f t="shared" si="15"/>
        <v>0</v>
      </c>
      <c r="Q49" s="120">
        <v>46</v>
      </c>
      <c r="R49" s="120">
        <f t="shared" si="37"/>
        <v>50</v>
      </c>
      <c r="S49" s="122">
        <v>1</v>
      </c>
      <c r="T49" s="122">
        <f t="shared" si="45"/>
        <v>0</v>
      </c>
      <c r="U49" s="120">
        <f>SUMIF(P49:P$53,P49,S49:S$53)</f>
        <v>5</v>
      </c>
      <c r="V49" s="120">
        <f t="shared" si="3"/>
        <v>0</v>
      </c>
      <c r="W49" s="120">
        <f t="shared" si="17"/>
        <v>1</v>
      </c>
      <c r="X49" s="120">
        <f t="shared" si="18"/>
        <v>0</v>
      </c>
      <c r="Y49" s="120">
        <f t="shared" si="19"/>
        <v>0</v>
      </c>
      <c r="Z49" s="120"/>
      <c r="AA49" s="120">
        <f t="shared" si="38"/>
        <v>0</v>
      </c>
      <c r="AB49" s="268" t="str">
        <f t="shared" si="32"/>
        <v/>
      </c>
      <c r="AC49" s="268" t="str">
        <f t="shared" si="39"/>
        <v/>
      </c>
      <c r="AD49" s="268" t="str">
        <f t="shared" si="40"/>
        <v/>
      </c>
      <c r="AE49" s="268" t="str">
        <f t="shared" si="33"/>
        <v/>
      </c>
      <c r="AF49" s="330">
        <f t="shared" si="22"/>
        <v>0</v>
      </c>
      <c r="AG49" s="275" t="str">
        <f t="shared" si="41"/>
        <v/>
      </c>
      <c r="AH49" s="275" t="str">
        <f t="shared" si="42"/>
        <v/>
      </c>
      <c r="AI49" s="275" t="str">
        <f t="shared" si="43"/>
        <v/>
      </c>
      <c r="AJ49" s="120" t="str">
        <f t="shared" si="23"/>
        <v/>
      </c>
      <c r="AK49" s="120" t="str">
        <f t="shared" si="24"/>
        <v/>
      </c>
      <c r="AL49" s="120">
        <f t="shared" si="25"/>
        <v>0</v>
      </c>
      <c r="AM49" s="120">
        <f t="shared" si="44"/>
        <v>0</v>
      </c>
      <c r="AN49" s="120">
        <f t="shared" si="27"/>
        <v>0</v>
      </c>
      <c r="AO49" s="120">
        <f t="shared" si="28"/>
        <v>0</v>
      </c>
      <c r="AP49" s="120">
        <f t="shared" si="29"/>
        <v>0</v>
      </c>
      <c r="AQ49" s="120">
        <f t="shared" si="30"/>
        <v>0</v>
      </c>
      <c r="AR49" s="120">
        <f t="shared" si="31"/>
        <v>0</v>
      </c>
    </row>
    <row r="50" spans="1:44" x14ac:dyDescent="0.15">
      <c r="A50" s="307">
        <v>47</v>
      </c>
      <c r="B50" s="282"/>
      <c r="C50" s="282"/>
      <c r="D50" s="606"/>
      <c r="E50" s="607"/>
      <c r="F50" s="607"/>
      <c r="G50" s="282"/>
      <c r="H50" s="610"/>
      <c r="I50" s="61">
        <f t="shared" si="11"/>
        <v>0</v>
      </c>
      <c r="J50" s="55">
        <f t="shared" si="12"/>
        <v>0</v>
      </c>
      <c r="K50" s="55">
        <f t="shared" si="13"/>
        <v>0</v>
      </c>
      <c r="M50" s="120">
        <f t="shared" si="35"/>
        <v>0</v>
      </c>
      <c r="N50" s="120">
        <f t="shared" si="14"/>
        <v>0</v>
      </c>
      <c r="O50" s="120" t="str">
        <f t="shared" si="36"/>
        <v/>
      </c>
      <c r="P50" s="294">
        <f t="shared" si="15"/>
        <v>0</v>
      </c>
      <c r="Q50" s="120">
        <v>47</v>
      </c>
      <c r="R50" s="120">
        <f t="shared" si="37"/>
        <v>50</v>
      </c>
      <c r="S50" s="122">
        <v>1</v>
      </c>
      <c r="T50" s="122">
        <f t="shared" si="45"/>
        <v>0</v>
      </c>
      <c r="U50" s="120">
        <f>SUMIF(P50:P$53,P50,S50:S$53)</f>
        <v>4</v>
      </c>
      <c r="V50" s="120">
        <f t="shared" si="3"/>
        <v>0</v>
      </c>
      <c r="W50" s="120">
        <f t="shared" si="17"/>
        <v>1</v>
      </c>
      <c r="X50" s="120">
        <f t="shared" si="18"/>
        <v>0</v>
      </c>
      <c r="Y50" s="120">
        <f t="shared" si="19"/>
        <v>0</v>
      </c>
      <c r="Z50" s="120"/>
      <c r="AA50" s="120">
        <f t="shared" si="38"/>
        <v>0</v>
      </c>
      <c r="AB50" s="268" t="str">
        <f t="shared" si="32"/>
        <v/>
      </c>
      <c r="AC50" s="268" t="str">
        <f t="shared" si="39"/>
        <v/>
      </c>
      <c r="AD50" s="268" t="str">
        <f t="shared" si="40"/>
        <v/>
      </c>
      <c r="AE50" s="268" t="str">
        <f t="shared" si="33"/>
        <v/>
      </c>
      <c r="AF50" s="330">
        <f t="shared" si="22"/>
        <v>0</v>
      </c>
      <c r="AG50" s="275" t="str">
        <f t="shared" si="41"/>
        <v/>
      </c>
      <c r="AH50" s="275" t="str">
        <f t="shared" si="42"/>
        <v/>
      </c>
      <c r="AI50" s="275" t="str">
        <f t="shared" si="43"/>
        <v/>
      </c>
      <c r="AJ50" s="120" t="str">
        <f t="shared" si="23"/>
        <v/>
      </c>
      <c r="AK50" s="120" t="str">
        <f t="shared" si="24"/>
        <v/>
      </c>
      <c r="AL50" s="120">
        <f t="shared" si="25"/>
        <v>0</v>
      </c>
      <c r="AM50" s="120">
        <f t="shared" si="44"/>
        <v>0</v>
      </c>
      <c r="AN50" s="120">
        <f t="shared" si="27"/>
        <v>0</v>
      </c>
      <c r="AO50" s="120">
        <f t="shared" si="28"/>
        <v>0</v>
      </c>
      <c r="AP50" s="120">
        <f t="shared" si="29"/>
        <v>0</v>
      </c>
      <c r="AQ50" s="120">
        <f t="shared" si="30"/>
        <v>0</v>
      </c>
      <c r="AR50" s="120">
        <f t="shared" si="31"/>
        <v>0</v>
      </c>
    </row>
    <row r="51" spans="1:44" x14ac:dyDescent="0.15">
      <c r="A51" s="307">
        <v>48</v>
      </c>
      <c r="B51" s="282"/>
      <c r="C51" s="282"/>
      <c r="D51" s="606"/>
      <c r="E51" s="607"/>
      <c r="F51" s="607"/>
      <c r="G51" s="282"/>
      <c r="H51" s="610"/>
      <c r="I51" s="61">
        <f t="shared" si="11"/>
        <v>0</v>
      </c>
      <c r="J51" s="55">
        <f t="shared" si="12"/>
        <v>0</v>
      </c>
      <c r="K51" s="55">
        <f t="shared" si="13"/>
        <v>0</v>
      </c>
      <c r="M51" s="120">
        <f t="shared" si="35"/>
        <v>0</v>
      </c>
      <c r="N51" s="120">
        <f t="shared" si="14"/>
        <v>0</v>
      </c>
      <c r="O51" s="120" t="str">
        <f t="shared" si="36"/>
        <v/>
      </c>
      <c r="P51" s="294">
        <f t="shared" si="15"/>
        <v>0</v>
      </c>
      <c r="Q51" s="120">
        <v>48</v>
      </c>
      <c r="R51" s="120">
        <f t="shared" si="37"/>
        <v>50</v>
      </c>
      <c r="S51" s="122">
        <v>1</v>
      </c>
      <c r="T51" s="122">
        <f t="shared" si="45"/>
        <v>0</v>
      </c>
      <c r="U51" s="120">
        <f>SUMIF(P51:P$53,P51,S51:S$53)</f>
        <v>3</v>
      </c>
      <c r="V51" s="120">
        <f t="shared" si="3"/>
        <v>0</v>
      </c>
      <c r="W51" s="120">
        <f t="shared" si="17"/>
        <v>1</v>
      </c>
      <c r="X51" s="120">
        <f t="shared" si="18"/>
        <v>0</v>
      </c>
      <c r="Y51" s="120">
        <f t="shared" si="19"/>
        <v>0</v>
      </c>
      <c r="Z51" s="120"/>
      <c r="AA51" s="120">
        <f t="shared" si="38"/>
        <v>0</v>
      </c>
      <c r="AB51" s="268" t="str">
        <f t="shared" si="32"/>
        <v/>
      </c>
      <c r="AC51" s="268" t="str">
        <f t="shared" si="39"/>
        <v/>
      </c>
      <c r="AD51" s="268" t="str">
        <f t="shared" si="40"/>
        <v/>
      </c>
      <c r="AE51" s="268" t="str">
        <f t="shared" si="33"/>
        <v/>
      </c>
      <c r="AF51" s="330">
        <f t="shared" si="22"/>
        <v>0</v>
      </c>
      <c r="AG51" s="275" t="str">
        <f t="shared" si="41"/>
        <v/>
      </c>
      <c r="AH51" s="275" t="str">
        <f t="shared" si="42"/>
        <v/>
      </c>
      <c r="AI51" s="275" t="str">
        <f t="shared" si="43"/>
        <v/>
      </c>
      <c r="AJ51" s="120" t="str">
        <f t="shared" si="23"/>
        <v/>
      </c>
      <c r="AK51" s="120" t="str">
        <f t="shared" si="24"/>
        <v/>
      </c>
      <c r="AL51" s="120">
        <f t="shared" si="25"/>
        <v>0</v>
      </c>
      <c r="AM51" s="120">
        <f t="shared" si="44"/>
        <v>0</v>
      </c>
      <c r="AN51" s="120">
        <f t="shared" si="27"/>
        <v>0</v>
      </c>
      <c r="AO51" s="120">
        <f t="shared" si="28"/>
        <v>0</v>
      </c>
      <c r="AP51" s="120">
        <f t="shared" si="29"/>
        <v>0</v>
      </c>
      <c r="AQ51" s="120">
        <f t="shared" si="30"/>
        <v>0</v>
      </c>
      <c r="AR51" s="120">
        <f t="shared" si="31"/>
        <v>0</v>
      </c>
    </row>
    <row r="52" spans="1:44" x14ac:dyDescent="0.15">
      <c r="A52" s="307">
        <v>49</v>
      </c>
      <c r="B52" s="615"/>
      <c r="C52" s="282"/>
      <c r="D52" s="606"/>
      <c r="E52" s="607"/>
      <c r="F52" s="607"/>
      <c r="G52" s="282"/>
      <c r="H52" s="610"/>
      <c r="I52" s="61">
        <f t="shared" si="11"/>
        <v>0</v>
      </c>
      <c r="J52" s="55">
        <f>IF(E52="",0,IF(H52="",E52*G52,E52*H52))</f>
        <v>0</v>
      </c>
      <c r="K52" s="55">
        <f t="shared" si="13"/>
        <v>0</v>
      </c>
      <c r="M52" s="120">
        <f t="shared" si="35"/>
        <v>0</v>
      </c>
      <c r="N52" s="120">
        <f t="shared" si="14"/>
        <v>0</v>
      </c>
      <c r="O52" s="120" t="str">
        <f t="shared" si="36"/>
        <v/>
      </c>
      <c r="P52" s="294">
        <f t="shared" si="15"/>
        <v>0</v>
      </c>
      <c r="Q52" s="120">
        <v>49</v>
      </c>
      <c r="R52" s="120">
        <f t="shared" si="37"/>
        <v>50</v>
      </c>
      <c r="S52" s="122">
        <v>1</v>
      </c>
      <c r="T52" s="122">
        <f t="shared" si="45"/>
        <v>0</v>
      </c>
      <c r="U52" s="120">
        <f>SUMIF(P52:P$53,P52,S52:S$53)</f>
        <v>2</v>
      </c>
      <c r="V52" s="120">
        <f t="shared" si="3"/>
        <v>0</v>
      </c>
      <c r="W52" s="120">
        <f t="shared" si="17"/>
        <v>1</v>
      </c>
      <c r="X52" s="120">
        <f t="shared" si="18"/>
        <v>0</v>
      </c>
      <c r="Y52" s="120">
        <f t="shared" si="19"/>
        <v>0</v>
      </c>
      <c r="Z52" s="120"/>
      <c r="AA52" s="120">
        <f t="shared" si="38"/>
        <v>0</v>
      </c>
      <c r="AB52" s="268" t="str">
        <f t="shared" si="32"/>
        <v/>
      </c>
      <c r="AC52" s="268" t="str">
        <f t="shared" si="39"/>
        <v/>
      </c>
      <c r="AD52" s="268" t="str">
        <f t="shared" si="40"/>
        <v/>
      </c>
      <c r="AE52" s="268" t="str">
        <f t="shared" si="33"/>
        <v/>
      </c>
      <c r="AF52" s="330">
        <f t="shared" si="22"/>
        <v>0</v>
      </c>
      <c r="AG52" s="275" t="str">
        <f t="shared" si="41"/>
        <v/>
      </c>
      <c r="AH52" s="275" t="str">
        <f t="shared" si="42"/>
        <v/>
      </c>
      <c r="AI52" s="275" t="str">
        <f t="shared" si="43"/>
        <v/>
      </c>
      <c r="AJ52" s="120" t="str">
        <f t="shared" si="23"/>
        <v/>
      </c>
      <c r="AK52" s="120" t="str">
        <f t="shared" si="24"/>
        <v/>
      </c>
      <c r="AL52" s="120">
        <f t="shared" si="25"/>
        <v>0</v>
      </c>
      <c r="AM52" s="120">
        <f t="shared" si="44"/>
        <v>0</v>
      </c>
      <c r="AN52" s="120">
        <f t="shared" si="27"/>
        <v>0</v>
      </c>
      <c r="AO52" s="120">
        <f t="shared" si="28"/>
        <v>0</v>
      </c>
      <c r="AP52" s="120">
        <f t="shared" si="29"/>
        <v>0</v>
      </c>
      <c r="AQ52" s="120">
        <f t="shared" si="30"/>
        <v>0</v>
      </c>
      <c r="AR52" s="120">
        <f t="shared" si="31"/>
        <v>0</v>
      </c>
    </row>
    <row r="53" spans="1:44" ht="14" thickBot="1" x14ac:dyDescent="0.2">
      <c r="A53" s="308">
        <v>50</v>
      </c>
      <c r="B53" s="616"/>
      <c r="C53" s="611"/>
      <c r="D53" s="612"/>
      <c r="E53" s="613"/>
      <c r="F53" s="613"/>
      <c r="G53" s="611"/>
      <c r="H53" s="614"/>
      <c r="I53" s="62">
        <f t="shared" si="11"/>
        <v>0</v>
      </c>
      <c r="J53" s="56">
        <f t="shared" si="12"/>
        <v>0</v>
      </c>
      <c r="K53" s="56">
        <f t="shared" si="13"/>
        <v>0</v>
      </c>
      <c r="M53" s="120">
        <f t="shared" si="35"/>
        <v>0</v>
      </c>
      <c r="N53" s="120">
        <f t="shared" si="14"/>
        <v>0</v>
      </c>
      <c r="O53" s="120" t="str">
        <f t="shared" si="36"/>
        <v/>
      </c>
      <c r="P53" s="294">
        <f t="shared" si="15"/>
        <v>0</v>
      </c>
      <c r="Q53" s="120">
        <v>50</v>
      </c>
      <c r="R53" s="120">
        <f t="shared" si="37"/>
        <v>50</v>
      </c>
      <c r="S53" s="122">
        <v>1</v>
      </c>
      <c r="T53" s="122">
        <f t="shared" si="45"/>
        <v>0</v>
      </c>
      <c r="U53" s="120">
        <f>SUMIF(P53:P$53,P53,S53:S$53)</f>
        <v>1</v>
      </c>
      <c r="V53" s="120">
        <f t="shared" si="3"/>
        <v>0</v>
      </c>
      <c r="W53" s="120">
        <f t="shared" si="17"/>
        <v>1</v>
      </c>
      <c r="X53" s="120">
        <f t="shared" si="18"/>
        <v>0</v>
      </c>
      <c r="Y53" s="120">
        <f t="shared" si="19"/>
        <v>0</v>
      </c>
      <c r="Z53" s="120"/>
      <c r="AA53" s="120">
        <f t="shared" si="38"/>
        <v>0</v>
      </c>
      <c r="AB53" s="268" t="str">
        <f t="shared" si="32"/>
        <v/>
      </c>
      <c r="AC53" s="268" t="str">
        <f t="shared" si="39"/>
        <v/>
      </c>
      <c r="AD53" s="268" t="str">
        <f t="shared" si="40"/>
        <v/>
      </c>
      <c r="AE53" s="268" t="str">
        <f t="shared" si="33"/>
        <v/>
      </c>
      <c r="AF53" s="330">
        <f t="shared" si="22"/>
        <v>0</v>
      </c>
      <c r="AG53" s="275" t="str">
        <f t="shared" si="41"/>
        <v/>
      </c>
      <c r="AH53" s="275" t="str">
        <f t="shared" si="42"/>
        <v/>
      </c>
      <c r="AI53" s="275" t="str">
        <f t="shared" si="43"/>
        <v/>
      </c>
      <c r="AJ53" s="120" t="str">
        <f t="shared" si="23"/>
        <v/>
      </c>
      <c r="AK53" s="120" t="str">
        <f t="shared" si="24"/>
        <v/>
      </c>
      <c r="AL53" s="120">
        <f t="shared" si="25"/>
        <v>0</v>
      </c>
      <c r="AM53" s="120">
        <f t="shared" si="44"/>
        <v>0</v>
      </c>
      <c r="AN53" s="120">
        <f t="shared" si="27"/>
        <v>0</v>
      </c>
      <c r="AO53" s="120">
        <f t="shared" si="28"/>
        <v>0</v>
      </c>
      <c r="AP53" s="120">
        <f t="shared" si="29"/>
        <v>0</v>
      </c>
      <c r="AQ53" s="120">
        <f t="shared" si="30"/>
        <v>0</v>
      </c>
      <c r="AR53" s="120">
        <f t="shared" si="31"/>
        <v>0</v>
      </c>
    </row>
    <row r="54" spans="1:44" ht="14" thickBot="1" x14ac:dyDescent="0.2">
      <c r="C54" s="719" t="s">
        <v>242</v>
      </c>
      <c r="E54" s="2"/>
      <c r="F54" s="2"/>
      <c r="G54" s="1" t="s">
        <v>232</v>
      </c>
      <c r="I54" s="286">
        <f>SUM(I4:I53)</f>
        <v>0</v>
      </c>
      <c r="J54" s="287">
        <f>SUM(J4:J53)</f>
        <v>0</v>
      </c>
      <c r="K54" s="287">
        <f>SUM(K4:K53)</f>
        <v>0</v>
      </c>
      <c r="L54"/>
      <c r="AC54" s="90">
        <f>SUM(AC4:AC53)</f>
        <v>0</v>
      </c>
      <c r="AD54" s="90">
        <f>SUM(AD4:AD53)</f>
        <v>0</v>
      </c>
      <c r="AE54" s="90">
        <f>SUM(AE4:AE53)</f>
        <v>0</v>
      </c>
      <c r="AF54" s="90"/>
      <c r="AG54" s="90">
        <f>SUM(AG4:AG53)</f>
        <v>0</v>
      </c>
      <c r="AH54" s="90">
        <f>SUM(AH4:AH53)</f>
        <v>0</v>
      </c>
      <c r="AI54" s="90">
        <f>SUM(AI4:AI53)</f>
        <v>0</v>
      </c>
      <c r="AR54" s="1">
        <f>SUM(AR4:AR53)</f>
        <v>0</v>
      </c>
    </row>
    <row r="55" spans="1:44" ht="15" thickTop="1" thickBot="1" x14ac:dyDescent="0.2">
      <c r="B55" s="36" t="s">
        <v>233</v>
      </c>
      <c r="C55" s="95">
        <f>Prezzi!O25</f>
        <v>12</v>
      </c>
      <c r="D55" s="324"/>
      <c r="E55" s="617" t="s">
        <v>234</v>
      </c>
      <c r="F55" s="617" t="s">
        <v>235</v>
      </c>
      <c r="G55" s="1" t="s">
        <v>236</v>
      </c>
      <c r="H55" s="324"/>
      <c r="I55" s="328">
        <f>I54*C55</f>
        <v>0</v>
      </c>
      <c r="J55" s="287">
        <f>J54*C55</f>
        <v>0</v>
      </c>
      <c r="K55" s="287">
        <f>K54*C55</f>
        <v>0</v>
      </c>
      <c r="AD55" s="332">
        <f>IF(AD54=0,0,(AD54/AC54)-1)</f>
        <v>0</v>
      </c>
    </row>
    <row r="56" spans="1:44" ht="14" thickBot="1" x14ac:dyDescent="0.2">
      <c r="D56" s="36" t="s">
        <v>237</v>
      </c>
      <c r="E56" s="60">
        <f>AC54</f>
        <v>0</v>
      </c>
      <c r="F56" s="60">
        <f>AD54</f>
        <v>0</v>
      </c>
      <c r="H56" s="325"/>
      <c r="J56" s="618" t="s">
        <v>477</v>
      </c>
      <c r="K56" s="287">
        <f>K55-J55</f>
        <v>0</v>
      </c>
    </row>
    <row r="57" spans="1:44" ht="15" thickTop="1" thickBot="1" x14ac:dyDescent="0.2">
      <c r="C57" s="36"/>
      <c r="D57" s="36" t="s">
        <v>238</v>
      </c>
      <c r="E57" s="334">
        <f>AD55</f>
        <v>0</v>
      </c>
      <c r="F57" s="55">
        <f>IF(J54=0,0,J54/E56)</f>
        <v>0</v>
      </c>
      <c r="I57" s="264" t="str">
        <f>IF(B4="","",IF(K57&gt;1,"COPRE I COSTI","NON COPRE I COSTI"))</f>
        <v/>
      </c>
      <c r="K57" s="287">
        <f>IF(T1=1,K56-Prezzi!C38,0)</f>
        <v>0</v>
      </c>
    </row>
    <row r="58" spans="1:44" ht="14" thickTop="1" x14ac:dyDescent="0.15">
      <c r="C58" s="36"/>
      <c r="D58" s="36" t="s">
        <v>239</v>
      </c>
      <c r="E58" s="92">
        <f>IF(AI54=0,0,(AI54/AR54)-1)</f>
        <v>0</v>
      </c>
      <c r="F58" s="55">
        <f>IF(E56=0,0,K54/E56)</f>
        <v>0</v>
      </c>
      <c r="H58" s="326"/>
    </row>
    <row r="59" spans="1:44" x14ac:dyDescent="0.15">
      <c r="C59" s="36"/>
      <c r="D59" s="350" t="s">
        <v>240</v>
      </c>
      <c r="E59" s="349">
        <f>IF(F56=0,0,K54/F56)</f>
        <v>0</v>
      </c>
      <c r="F59" s="348">
        <f>K54/24</f>
        <v>0</v>
      </c>
      <c r="G59" s="1" t="s">
        <v>241</v>
      </c>
      <c r="H59" s="327"/>
      <c r="K59" s="718" t="s">
        <v>504</v>
      </c>
    </row>
    <row r="60" spans="1:44" x14ac:dyDescent="0.15">
      <c r="F60" s="36"/>
    </row>
    <row r="61" spans="1:44" x14ac:dyDescent="0.15">
      <c r="E61" s="36"/>
      <c r="F61" s="36"/>
      <c r="G61" s="295"/>
      <c r="H61" s="295"/>
    </row>
    <row r="62" spans="1:44" x14ac:dyDescent="0.15">
      <c r="E62"/>
      <c r="F62"/>
    </row>
  </sheetData>
  <sheetProtection password="DB4F" sheet="1" objects="1" scenarios="1" selectLockedCells="1"/>
  <phoneticPr fontId="15" type="noConversion"/>
  <pageMargins left="0.64" right="0.16" top="0.54" bottom="0.7" header="0.37" footer="0.45"/>
  <pageSetup paperSize="9" orientation="portrait" horizontalDpi="4294967293"/>
  <headerFooter alignWithMargins="0">
    <oddHeader>&amp;L&amp;A&amp;R&amp;F</oddHeader>
    <oddFooter>&amp;CPagina &amp;P+7&amp;R&amp;D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E206"/>
  <sheetViews>
    <sheetView topLeftCell="A149" workbookViewId="0">
      <selection activeCell="B171" sqref="B171"/>
    </sheetView>
  </sheetViews>
  <sheetFormatPr baseColWidth="10" defaultColWidth="9.1640625" defaultRowHeight="13" x14ac:dyDescent="0.15"/>
  <cols>
    <col min="1" max="1" width="3.5" style="1" customWidth="1"/>
    <col min="2" max="2" width="12.83203125" style="1" customWidth="1"/>
    <col min="3" max="24" width="3.6640625" style="1" customWidth="1"/>
    <col min="25" max="25" width="1.6640625" style="1" customWidth="1"/>
    <col min="26" max="26" width="7" style="1" customWidth="1"/>
    <col min="27" max="28" width="8" style="1" customWidth="1"/>
    <col min="29" max="40" width="3.6640625" style="1" customWidth="1"/>
    <col min="41" max="49" width="3.6640625" style="116" customWidth="1"/>
    <col min="50" max="53" width="3.6640625" style="1" customWidth="1"/>
    <col min="54" max="55" width="8.6640625" style="1" customWidth="1"/>
    <col min="56" max="64" width="3.6640625" style="1" customWidth="1"/>
    <col min="65" max="65" width="6.6640625" style="1" customWidth="1"/>
    <col min="66" max="66" width="9.6640625" style="1" customWidth="1"/>
    <col min="67" max="67" width="9.83203125" style="1" customWidth="1"/>
    <col min="68" max="68" width="8.6640625" style="1" customWidth="1"/>
    <col min="69" max="69" width="3.6640625" style="1" customWidth="1"/>
    <col min="70" max="70" width="9.6640625" style="116" customWidth="1"/>
    <col min="71" max="71" width="5.33203125" style="1" customWidth="1"/>
    <col min="72" max="74" width="9.1640625" style="1"/>
    <col min="75" max="78" width="8.83203125" customWidth="1"/>
    <col min="79" max="16384" width="9.1640625" style="1"/>
  </cols>
  <sheetData>
    <row r="1" spans="1:79" ht="21" thickBot="1" x14ac:dyDescent="0.25">
      <c r="A1" s="76" t="s">
        <v>243</v>
      </c>
      <c r="L1" s="264" t="str">
        <f>IF(B4="","NON CONSIDERATO","CONSIDERATO")</f>
        <v>NON CONSIDERATO</v>
      </c>
      <c r="X1" s="714" t="str">
        <f>MID([1]Persona!$D$12,1,25)</f>
        <v/>
      </c>
      <c r="Y1" s="790" t="s">
        <v>244</v>
      </c>
      <c r="Z1" s="451" t="s">
        <v>390</v>
      </c>
      <c r="AB1" s="120" t="s">
        <v>418</v>
      </c>
      <c r="AC1" s="120"/>
      <c r="AD1" s="120"/>
      <c r="AE1" s="531" t="str">
        <f>IF(B4="","","PRODUZIONE")</f>
        <v/>
      </c>
      <c r="AF1" s="120"/>
      <c r="AG1" s="120"/>
      <c r="AH1" s="120"/>
      <c r="AI1" s="268">
        <f>Prezzi!W1</f>
        <v>4</v>
      </c>
      <c r="AJ1" s="120"/>
      <c r="AK1" s="532" t="str">
        <f>IF(MAX(AK4:AK53)&gt;15,"Superato il Nr. Di Famiglie","")</f>
        <v/>
      </c>
      <c r="AL1" s="120"/>
      <c r="AM1" s="120"/>
      <c r="AP1" s="120"/>
      <c r="AQ1" s="120" t="s">
        <v>245</v>
      </c>
      <c r="AR1" s="120"/>
      <c r="AS1" s="120"/>
      <c r="AT1" s="120"/>
      <c r="AU1" s="120"/>
      <c r="AV1" s="532" t="str">
        <f>IF(MAX(AV4:AV53)&gt;(15+AX2),"Superato il Nr. di Processi","")</f>
        <v/>
      </c>
      <c r="AW1" s="120">
        <f>AV2+AK2</f>
        <v>0</v>
      </c>
      <c r="AX1" s="120" t="s">
        <v>419</v>
      </c>
      <c r="AY1" s="120"/>
      <c r="AZ1" s="120"/>
      <c r="BA1" s="116"/>
      <c r="BB1" s="120"/>
      <c r="BC1" s="120"/>
      <c r="BD1" s="116"/>
      <c r="BE1" s="296" t="s">
        <v>211</v>
      </c>
      <c r="BF1" s="297"/>
      <c r="BG1" s="297"/>
      <c r="BH1" s="297"/>
      <c r="BI1" s="297"/>
      <c r="BJ1" s="297"/>
      <c r="BK1" s="297"/>
      <c r="BL1" s="297"/>
      <c r="BM1" s="297"/>
      <c r="BN1" s="297"/>
      <c r="BO1" s="298"/>
      <c r="BP1" s="120"/>
      <c r="BQ1" s="120"/>
      <c r="BR1" s="120"/>
      <c r="BS1" s="120"/>
      <c r="CA1"/>
    </row>
    <row r="2" spans="1:79" ht="12.75" customHeight="1" x14ac:dyDescent="0.15">
      <c r="A2" s="46"/>
      <c r="B2" s="46"/>
      <c r="C2" s="525" t="str">
        <f>IF(AW1=0,"",CHOOSE(AW1,AK1,AV1,AX1))</f>
        <v/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84"/>
      <c r="O2" s="321" t="s">
        <v>212</v>
      </c>
      <c r="P2" s="322"/>
      <c r="Q2" s="264" t="str">
        <f>IF(T107&gt;Prezzi!O28,"SI È OLTRE LE ORE DISPONIBILI","")</f>
        <v/>
      </c>
      <c r="R2" s="46"/>
      <c r="S2" s="46"/>
      <c r="T2" s="46"/>
      <c r="U2" s="46"/>
      <c r="V2" s="46"/>
      <c r="W2" s="46"/>
      <c r="X2" s="46"/>
      <c r="Y2" s="790"/>
      <c r="Z2" s="450" t="s">
        <v>391</v>
      </c>
      <c r="AB2" s="120"/>
      <c r="AC2" s="120"/>
      <c r="AD2" s="120"/>
      <c r="AE2" s="120"/>
      <c r="AF2" s="120"/>
      <c r="AG2" s="120"/>
      <c r="AH2" s="120"/>
      <c r="AI2" s="120" t="s">
        <v>416</v>
      </c>
      <c r="AJ2" s="120"/>
      <c r="AK2" s="524">
        <f>IF(MAX(AK4:AK53)&gt;15,1,0)</f>
        <v>0</v>
      </c>
      <c r="AL2" s="120"/>
      <c r="AM2" s="120"/>
      <c r="AN2" s="120"/>
      <c r="AP2" s="120"/>
      <c r="AQ2" s="120"/>
      <c r="AR2" s="120"/>
      <c r="AS2" s="120"/>
      <c r="AT2" s="120" t="s">
        <v>416</v>
      </c>
      <c r="AU2" s="120"/>
      <c r="AV2" s="524">
        <f>IF(MAX(AV4:AV53)&gt;15,2,0)</f>
        <v>0</v>
      </c>
      <c r="AW2" s="120"/>
      <c r="AX2" s="120">
        <f>SUMIF(C4:C53,"Acquisti",AD4:AD53)</f>
        <v>0</v>
      </c>
      <c r="AY2" s="120"/>
      <c r="AZ2" s="120"/>
      <c r="BA2" s="116"/>
      <c r="BB2" s="120"/>
      <c r="BC2" s="120"/>
      <c r="BD2" s="116"/>
      <c r="BE2" s="299"/>
      <c r="BF2" s="268"/>
      <c r="BG2" s="268"/>
      <c r="BH2" s="268"/>
      <c r="BI2" s="268" t="s">
        <v>143</v>
      </c>
      <c r="BJ2" s="268"/>
      <c r="BK2" s="268"/>
      <c r="BL2" s="268"/>
      <c r="BM2" s="268"/>
      <c r="BN2" s="268"/>
      <c r="BO2" s="300"/>
      <c r="BP2" s="120" t="s">
        <v>431</v>
      </c>
      <c r="BQ2" s="120" t="s">
        <v>433</v>
      </c>
      <c r="BR2" s="120"/>
      <c r="BS2" s="120"/>
      <c r="CA2"/>
    </row>
    <row r="3" spans="1:79" ht="12.75" customHeight="1" thickBot="1" x14ac:dyDescent="0.2">
      <c r="A3" s="43" t="s">
        <v>144</v>
      </c>
      <c r="B3" s="33" t="s">
        <v>145</v>
      </c>
      <c r="C3" s="110" t="s">
        <v>214</v>
      </c>
      <c r="D3" s="111"/>
      <c r="E3" s="290"/>
      <c r="F3" s="110" t="s">
        <v>246</v>
      </c>
      <c r="G3" s="111"/>
      <c r="H3" s="290"/>
      <c r="I3" s="33" t="s">
        <v>247</v>
      </c>
      <c r="J3" s="110" t="s">
        <v>148</v>
      </c>
      <c r="K3" s="111"/>
      <c r="L3" s="110" t="s">
        <v>149</v>
      </c>
      <c r="M3" s="111"/>
      <c r="N3" s="111"/>
      <c r="O3" s="33" t="s">
        <v>217</v>
      </c>
      <c r="P3" s="145" t="s">
        <v>218</v>
      </c>
      <c r="Q3" s="404" t="s">
        <v>219</v>
      </c>
      <c r="R3" s="290"/>
      <c r="S3" s="110" t="s">
        <v>220</v>
      </c>
      <c r="T3" s="111"/>
      <c r="U3" s="111"/>
      <c r="V3" s="366" t="s">
        <v>430</v>
      </c>
      <c r="W3" s="430"/>
      <c r="X3" s="367"/>
      <c r="Y3" s="791"/>
      <c r="Z3" s="449" t="s">
        <v>389</v>
      </c>
      <c r="AB3" s="120" t="s">
        <v>428</v>
      </c>
      <c r="AC3" s="120" t="s">
        <v>425</v>
      </c>
      <c r="AD3" s="120" t="s">
        <v>423</v>
      </c>
      <c r="AE3" s="120" t="s">
        <v>421</v>
      </c>
      <c r="AF3" s="120" t="s">
        <v>422</v>
      </c>
      <c r="AG3" s="120"/>
      <c r="AH3" s="120" t="s">
        <v>417</v>
      </c>
      <c r="AI3" s="120">
        <v>0</v>
      </c>
      <c r="AJ3" s="120" t="s">
        <v>415</v>
      </c>
      <c r="AK3" s="120" t="s">
        <v>414</v>
      </c>
      <c r="AL3" s="120"/>
      <c r="AM3" s="120" t="s">
        <v>210</v>
      </c>
      <c r="AN3" s="120"/>
      <c r="AP3" s="120" t="s">
        <v>420</v>
      </c>
      <c r="AQ3" s="120" t="s">
        <v>422</v>
      </c>
      <c r="AR3" s="120"/>
      <c r="AS3" s="120" t="s">
        <v>417</v>
      </c>
      <c r="AT3" s="120">
        <v>0</v>
      </c>
      <c r="AU3" s="120" t="s">
        <v>415</v>
      </c>
      <c r="AV3" s="120" t="s">
        <v>414</v>
      </c>
      <c r="AW3" s="120"/>
      <c r="AX3" s="120" t="s">
        <v>248</v>
      </c>
      <c r="AY3" s="120"/>
      <c r="AZ3" s="120"/>
      <c r="BA3" s="116"/>
      <c r="BB3" s="120" t="s">
        <v>429</v>
      </c>
      <c r="BC3" s="120" t="s">
        <v>216</v>
      </c>
      <c r="BD3" s="116"/>
      <c r="BE3" s="299" t="s">
        <v>424</v>
      </c>
      <c r="BF3" s="268" t="s">
        <v>224</v>
      </c>
      <c r="BG3" s="268"/>
      <c r="BH3" s="268"/>
      <c r="BI3" s="268" t="s">
        <v>217</v>
      </c>
      <c r="BJ3" s="268" t="s">
        <v>218</v>
      </c>
      <c r="BK3" s="268" t="s">
        <v>425</v>
      </c>
      <c r="BL3" s="268" t="s">
        <v>225</v>
      </c>
      <c r="BM3" s="268" t="s">
        <v>148</v>
      </c>
      <c r="BN3" s="268" t="s">
        <v>226</v>
      </c>
      <c r="BO3" s="300" t="s">
        <v>216</v>
      </c>
      <c r="BP3" s="120" t="s">
        <v>432</v>
      </c>
      <c r="BQ3" s="120"/>
      <c r="BR3" s="120" t="s">
        <v>456</v>
      </c>
      <c r="BS3" s="120" t="s">
        <v>218</v>
      </c>
      <c r="CA3"/>
    </row>
    <row r="4" spans="1:79" x14ac:dyDescent="0.15">
      <c r="A4" s="307">
        <v>1</v>
      </c>
      <c r="B4" s="282"/>
      <c r="C4" s="645"/>
      <c r="D4" s="646"/>
      <c r="E4" s="647"/>
      <c r="F4" s="645"/>
      <c r="G4" s="646"/>
      <c r="H4" s="647"/>
      <c r="I4" s="282"/>
      <c r="J4" s="801"/>
      <c r="K4" s="802"/>
      <c r="L4" s="792"/>
      <c r="M4" s="793"/>
      <c r="N4" s="794"/>
      <c r="O4" s="608"/>
      <c r="P4" s="609"/>
      <c r="Q4" s="362">
        <f>IF(J4="",0,IF(P4="",(O4+AC4)*Z4,Z4*BQ4))</f>
        <v>0</v>
      </c>
      <c r="R4" s="363"/>
      <c r="S4" s="232">
        <f>IF(L4="",0,IF(P4="",L4*(O4+AC4),L4*BQ4))</f>
        <v>0</v>
      </c>
      <c r="T4" s="233"/>
      <c r="U4" s="233"/>
      <c r="V4" s="385" t="str">
        <f>IF(J4="","",IF(C4="Acquisti",F4,(Z4*Prezzi!$E$31)+L4))</f>
        <v/>
      </c>
      <c r="W4" s="431"/>
      <c r="X4" s="386"/>
      <c r="Y4" s="487" t="str">
        <f t="shared" ref="Y4:Y11" si="0">IF(J4=Z4,IF(AC4=0,"",1),IF(AC4=0,2,3))</f>
        <v/>
      </c>
      <c r="Z4" s="452">
        <f t="shared" ref="Z4:Z35" si="1">AB114</f>
        <v>0</v>
      </c>
      <c r="AB4" s="266">
        <f>IF(P4="",O4+AC4,P4+AC4)*Z4</f>
        <v>0</v>
      </c>
      <c r="AC4" s="120">
        <f t="shared" ref="AC4:AC35" si="2">SUM(AW114:BA114)</f>
        <v>0</v>
      </c>
      <c r="AD4" s="122">
        <v>1</v>
      </c>
      <c r="AE4" s="120">
        <f>IF(C4=0,0,SUMIF(C4:C$53,C4,AD4:AD$53))</f>
        <v>0</v>
      </c>
      <c r="AF4" s="120">
        <f t="shared" ref="AF4:AF35" si="3">IF(C4=0,0,SUMIF(C$4:C$53,C4,AD$4:AD$53))</f>
        <v>0</v>
      </c>
      <c r="AG4" s="120">
        <f>IF(AF4&gt;1,AF4,0)</f>
        <v>0</v>
      </c>
      <c r="AH4" s="120">
        <f t="shared" ref="AH4:AH35" si="4">IF(C4="",0,IF(OR(AE4=AG4,AG4=0),A4,0))</f>
        <v>0</v>
      </c>
      <c r="AI4" s="120">
        <f t="shared" ref="AI4:AI35" si="5">IF(C4="",AI3,IF(OR(AE4=AG4,AG4=0),1,0)+AI3)</f>
        <v>0</v>
      </c>
      <c r="AJ4" s="120">
        <f t="shared" ref="AJ4:AJ12" si="6">IF(AI4=AI3,0,AI4)</f>
        <v>0</v>
      </c>
      <c r="AK4" s="526">
        <f t="shared" ref="AK4:AK35" si="7">SUMIF(AJ$4:AJ$53,A4,AJ$4:AJ$53)</f>
        <v>0</v>
      </c>
      <c r="AL4" s="120">
        <f t="shared" ref="AL4:AL35" si="8">SUMIF(AI$4:AI$53,AK4,AH$4:AH$53)</f>
        <v>0</v>
      </c>
      <c r="AM4" s="120" t="str">
        <f t="shared" ref="AM4:AM35" si="9">IF(AK4=0,"",LOOKUP(AL4,A$4:A$53,C$4:C$53))</f>
        <v/>
      </c>
      <c r="AN4" s="120"/>
      <c r="AP4" s="120">
        <f>IF(F4=0,0,SUMIF(F4:F$53,F4,AD4:AD$53))</f>
        <v>0</v>
      </c>
      <c r="AQ4" s="120">
        <f t="shared" ref="AQ4:AQ35" si="10">IF(F4=0,0,SUMIF(F$4:F$53,F4,AD$4:AD$53))</f>
        <v>0</v>
      </c>
      <c r="AR4" s="120">
        <f>IF(AQ4&gt;1,AQ4,0)</f>
        <v>0</v>
      </c>
      <c r="AS4" s="120">
        <f t="shared" ref="AS4:AS35" si="11">IF(F4="",0,IF(OR(AP4=AR4,AR4=0),A4,0))</f>
        <v>0</v>
      </c>
      <c r="AT4" s="120">
        <f t="shared" ref="AT4:AT35" si="12">IF(F4="",AT3,IF(OR(AP4=AR4,AR4=0),1,0)+AT3)</f>
        <v>0</v>
      </c>
      <c r="AU4" s="120">
        <f>IF(AT4=AT3,0,AT4)</f>
        <v>0</v>
      </c>
      <c r="AV4" s="120">
        <f t="shared" ref="AV4:AV35" si="13">SUMIF(AU$4:AU$53,A4,AU$4:AU$53)</f>
        <v>0</v>
      </c>
      <c r="AW4" s="120">
        <f t="shared" ref="AW4:AW35" si="14">SUMIF(AT$4:AT$53,AV4,AS$4:AS$53)</f>
        <v>0</v>
      </c>
      <c r="AX4" s="120" t="str">
        <f t="shared" ref="AX4:AX35" si="15">IF(AV4=0,"",LOOKUP(AW4,A$4:A$53,F$4:F$53))</f>
        <v/>
      </c>
      <c r="AY4" s="120"/>
      <c r="AZ4" s="120"/>
      <c r="BA4" s="116"/>
      <c r="BB4" s="699">
        <f>IF(P4="",O4+AC4,P4+AC4)*L4</f>
        <v>0</v>
      </c>
      <c r="BC4" s="699">
        <f t="shared" ref="BC4:BC11" si="16">IF(C4="Acquisti",F4*BQ4,0)</f>
        <v>0</v>
      </c>
      <c r="BD4" s="116"/>
      <c r="BE4" s="527" t="str">
        <f>IF(AK4=0,"",AK4)</f>
        <v/>
      </c>
      <c r="BF4" s="268">
        <f>AL4</f>
        <v>0</v>
      </c>
      <c r="BG4" s="268" t="str">
        <f>AM4</f>
        <v/>
      </c>
      <c r="BH4" s="268"/>
      <c r="BI4" s="268">
        <f>SUMIF(C$4:C$53,BG4,O$4:O$53)</f>
        <v>0</v>
      </c>
      <c r="BJ4" s="268">
        <f>SUMIF(C$4:C$53,BG4,BS$4:BS$53)</f>
        <v>0</v>
      </c>
      <c r="BK4" s="268">
        <f>SUMIF(C$4:C$53,BG4,AC$4:AC$53)</f>
        <v>0</v>
      </c>
      <c r="BL4" s="268" t="str">
        <f>IF(BG4="","",IF(BJ4=0,BI4+BK4,BJ4+BK4))</f>
        <v/>
      </c>
      <c r="BM4" s="275">
        <f>SUMIF(C$4:C$53,BG4,AB$4:AB$53)</f>
        <v>0</v>
      </c>
      <c r="BN4" s="275">
        <f>SUMIF(C$4:C$53,BG4,BB$4:BB$53)</f>
        <v>0</v>
      </c>
      <c r="BO4" s="301">
        <f>SUMIF(C$4:C$53,BG4,BC$4:BC$53)</f>
        <v>0</v>
      </c>
      <c r="BP4" s="266" t="str">
        <f>IF(J4="","",(J4*Prezzi!$E$31)+L4)</f>
        <v/>
      </c>
      <c r="BQ4" s="120">
        <f>IF(B4="",0,IF(P4="",O4+AC4,P4+AC4))</f>
        <v>0</v>
      </c>
      <c r="BR4" s="564">
        <f>IF(B4="",0,V4*BQ4)</f>
        <v>0</v>
      </c>
      <c r="BS4" s="120">
        <f>IF(O4="",0,IF(P4="",O4,P4))</f>
        <v>0</v>
      </c>
      <c r="CA4"/>
    </row>
    <row r="5" spans="1:79" x14ac:dyDescent="0.15">
      <c r="A5" s="307">
        <v>2</v>
      </c>
      <c r="B5" s="282"/>
      <c r="C5" s="645"/>
      <c r="D5" s="646"/>
      <c r="E5" s="647"/>
      <c r="F5" s="645"/>
      <c r="G5" s="646"/>
      <c r="H5" s="648"/>
      <c r="I5" s="282"/>
      <c r="J5" s="795"/>
      <c r="K5" s="796"/>
      <c r="L5" s="784"/>
      <c r="M5" s="785"/>
      <c r="N5" s="786"/>
      <c r="O5" s="282"/>
      <c r="P5" s="609"/>
      <c r="Q5" s="362">
        <f>IF(J5="",0,IF(P5="",(O5+AC5)*Z5,Z5*BQ5))</f>
        <v>0</v>
      </c>
      <c r="R5" s="363"/>
      <c r="S5" s="232">
        <f t="shared" ref="S5:S53" si="17">IF(L5="",0,IF(P5="",L5*(O5+AC5),L5*BQ5))</f>
        <v>0</v>
      </c>
      <c r="T5" s="233"/>
      <c r="U5" s="233"/>
      <c r="V5" s="385" t="str">
        <f>IF(J5="","",IF(C5="Acquisti",F5,(Z5*Prezzi!$E$31)+L5))</f>
        <v/>
      </c>
      <c r="W5" s="431"/>
      <c r="X5" s="386"/>
      <c r="Y5" s="488" t="str">
        <f t="shared" si="0"/>
        <v/>
      </c>
      <c r="Z5" s="452">
        <f t="shared" si="1"/>
        <v>0</v>
      </c>
      <c r="AB5" s="266">
        <f t="shared" ref="AB5:AB53" si="18">IF(P5="",O5+AC5,P5+AC5)*Z5</f>
        <v>0</v>
      </c>
      <c r="AC5" s="120">
        <f t="shared" si="2"/>
        <v>0</v>
      </c>
      <c r="AD5" s="122">
        <v>1</v>
      </c>
      <c r="AE5" s="120">
        <f>IF(C5=0,0,SUMIF(C5:C$53,C5,AD5:AD$53))</f>
        <v>0</v>
      </c>
      <c r="AF5" s="120">
        <f t="shared" si="3"/>
        <v>0</v>
      </c>
      <c r="AG5" s="120">
        <f t="shared" ref="AG5:AG53" si="19">IF(AF5&gt;1,AF5,0)</f>
        <v>0</v>
      </c>
      <c r="AH5" s="120">
        <f t="shared" si="4"/>
        <v>0</v>
      </c>
      <c r="AI5" s="120">
        <f t="shared" si="5"/>
        <v>0</v>
      </c>
      <c r="AJ5" s="120">
        <f t="shared" si="6"/>
        <v>0</v>
      </c>
      <c r="AK5" s="526">
        <f t="shared" si="7"/>
        <v>0</v>
      </c>
      <c r="AL5" s="120">
        <f t="shared" si="8"/>
        <v>0</v>
      </c>
      <c r="AM5" s="120" t="str">
        <f t="shared" si="9"/>
        <v/>
      </c>
      <c r="AN5" s="120"/>
      <c r="AP5" s="120">
        <f>IF(F5=0,0,SUMIF(F5:F$53,F5,AD5:AD$53))</f>
        <v>0</v>
      </c>
      <c r="AQ5" s="120">
        <f t="shared" si="10"/>
        <v>0</v>
      </c>
      <c r="AR5" s="120">
        <f t="shared" ref="AR5:AR53" si="20">IF(AQ5&gt;1,AQ5,0)</f>
        <v>0</v>
      </c>
      <c r="AS5" s="120">
        <f t="shared" si="11"/>
        <v>0</v>
      </c>
      <c r="AT5" s="120">
        <f t="shared" si="12"/>
        <v>0</v>
      </c>
      <c r="AU5" s="120">
        <f t="shared" ref="AU5:AU53" si="21">IF(AT5=AT4,0,AT5)</f>
        <v>0</v>
      </c>
      <c r="AV5" s="120">
        <f t="shared" si="13"/>
        <v>0</v>
      </c>
      <c r="AW5" s="120">
        <f t="shared" si="14"/>
        <v>0</v>
      </c>
      <c r="AX5" s="120" t="str">
        <f t="shared" si="15"/>
        <v/>
      </c>
      <c r="AY5" s="120"/>
      <c r="AZ5" s="120"/>
      <c r="BA5" s="116"/>
      <c r="BB5" s="699">
        <f t="shared" ref="BB5:BB53" si="22">IF(P5="",O5+AC5,P5+AC5)*L5</f>
        <v>0</v>
      </c>
      <c r="BC5" s="699">
        <f t="shared" si="16"/>
        <v>0</v>
      </c>
      <c r="BD5" s="116"/>
      <c r="BE5" s="527" t="str">
        <f t="shared" ref="BE5:BE53" si="23">IF(AK5=0,"",AK5)</f>
        <v/>
      </c>
      <c r="BF5" s="268">
        <f t="shared" ref="BF5:BF53" si="24">AL5</f>
        <v>0</v>
      </c>
      <c r="BG5" s="268" t="str">
        <f t="shared" ref="BG5:BG53" si="25">AM5</f>
        <v/>
      </c>
      <c r="BH5" s="268"/>
      <c r="BI5" s="268">
        <f t="shared" ref="BI5:BI35" si="26">SUMIF(C$4:C$53,BG5,O$4:O$53)</f>
        <v>0</v>
      </c>
      <c r="BJ5" s="268">
        <f t="shared" ref="BJ5:BJ53" si="27">SUMIF(C$4:C$53,BG5,BS$4:BS$53)</f>
        <v>0</v>
      </c>
      <c r="BK5" s="268">
        <f t="shared" ref="BK5:BK35" si="28">SUMIF(C$4:C$53,BG5,AC$4:AC$53)</f>
        <v>0</v>
      </c>
      <c r="BL5" s="268" t="str">
        <f t="shared" ref="BL5:BL53" si="29">IF(BG5="","",IF(BJ5=0,BI5+BK5,BJ5+BK5))</f>
        <v/>
      </c>
      <c r="BM5" s="275">
        <f t="shared" ref="BM5:BM35" si="30">SUMIF(C$4:C$53,BG5,AB$4:AB$53)</f>
        <v>0</v>
      </c>
      <c r="BN5" s="275">
        <f t="shared" ref="BN5:BN35" si="31">SUMIF(C$4:C$53,BG5,BB$4:BB$53)</f>
        <v>0</v>
      </c>
      <c r="BO5" s="301">
        <f t="shared" ref="BO5:BO53" si="32">SUMIF(C$4:C$53,BG5,BC$4:BC$53)</f>
        <v>0</v>
      </c>
      <c r="BP5" s="266" t="str">
        <f>IF(J5="","",(J5*Prezzi!$E$31)+L5)</f>
        <v/>
      </c>
      <c r="BQ5" s="120">
        <f t="shared" ref="BQ5:BQ53" si="33">IF(B5="",0,IF(P5="",O5+AC5,P5+AC5))</f>
        <v>0</v>
      </c>
      <c r="BR5" s="564">
        <f t="shared" ref="BR5:BR53" si="34">IF(B5="",0,V5*BQ5)</f>
        <v>0</v>
      </c>
      <c r="BS5" s="120">
        <f t="shared" ref="BS5:BS53" si="35">IF(O5="",0,IF(P5="",O5,P5))</f>
        <v>0</v>
      </c>
      <c r="CA5"/>
    </row>
    <row r="6" spans="1:79" x14ac:dyDescent="0.15">
      <c r="A6" s="307">
        <v>3</v>
      </c>
      <c r="B6" s="282"/>
      <c r="C6" s="645"/>
      <c r="D6" s="646"/>
      <c r="E6" s="647"/>
      <c r="F6" s="645"/>
      <c r="G6" s="646"/>
      <c r="H6" s="648"/>
      <c r="I6" s="282"/>
      <c r="J6" s="795"/>
      <c r="K6" s="796"/>
      <c r="L6" s="784"/>
      <c r="M6" s="785"/>
      <c r="N6" s="786"/>
      <c r="O6" s="282"/>
      <c r="P6" s="609"/>
      <c r="Q6" s="362">
        <f t="shared" ref="Q6:Q53" si="36">IF(J6="",0,IF(P6="",(O6+AC6)*Z6,Z6*BQ6))</f>
        <v>0</v>
      </c>
      <c r="R6" s="363"/>
      <c r="S6" s="232">
        <f t="shared" si="17"/>
        <v>0</v>
      </c>
      <c r="T6" s="233"/>
      <c r="U6" s="233"/>
      <c r="V6" s="385" t="str">
        <f>IF(J6="","",IF(C6="Acquisti",F6,(Z6*Prezzi!$E$31)+L6))</f>
        <v/>
      </c>
      <c r="W6" s="431"/>
      <c r="X6" s="386"/>
      <c r="Y6" s="488" t="str">
        <f t="shared" si="0"/>
        <v/>
      </c>
      <c r="Z6" s="452">
        <f t="shared" si="1"/>
        <v>0</v>
      </c>
      <c r="AB6" s="266">
        <f t="shared" si="18"/>
        <v>0</v>
      </c>
      <c r="AC6" s="120">
        <f t="shared" si="2"/>
        <v>0</v>
      </c>
      <c r="AD6" s="122">
        <v>1</v>
      </c>
      <c r="AE6" s="120">
        <f>IF(C6=0,0,SUMIF(C6:C$53,C6,AD6:AD$53))</f>
        <v>0</v>
      </c>
      <c r="AF6" s="120">
        <f t="shared" si="3"/>
        <v>0</v>
      </c>
      <c r="AG6" s="120">
        <f t="shared" si="19"/>
        <v>0</v>
      </c>
      <c r="AH6" s="120">
        <f t="shared" si="4"/>
        <v>0</v>
      </c>
      <c r="AI6" s="120">
        <f t="shared" si="5"/>
        <v>0</v>
      </c>
      <c r="AJ6" s="120">
        <f t="shared" si="6"/>
        <v>0</v>
      </c>
      <c r="AK6" s="526">
        <f t="shared" si="7"/>
        <v>0</v>
      </c>
      <c r="AL6" s="120">
        <f t="shared" si="8"/>
        <v>0</v>
      </c>
      <c r="AM6" s="120" t="str">
        <f t="shared" si="9"/>
        <v/>
      </c>
      <c r="AN6" s="120"/>
      <c r="AP6" s="120">
        <f>IF(F6=0,0,SUMIF(F6:F$53,F6,AD6:AD$53))</f>
        <v>0</v>
      </c>
      <c r="AQ6" s="120">
        <f t="shared" si="10"/>
        <v>0</v>
      </c>
      <c r="AR6" s="120">
        <f t="shared" si="20"/>
        <v>0</v>
      </c>
      <c r="AS6" s="120">
        <f t="shared" si="11"/>
        <v>0</v>
      </c>
      <c r="AT6" s="120">
        <f t="shared" si="12"/>
        <v>0</v>
      </c>
      <c r="AU6" s="120">
        <f t="shared" si="21"/>
        <v>0</v>
      </c>
      <c r="AV6" s="120">
        <f t="shared" si="13"/>
        <v>0</v>
      </c>
      <c r="AW6" s="120">
        <f t="shared" si="14"/>
        <v>0</v>
      </c>
      <c r="AX6" s="120" t="str">
        <f t="shared" si="15"/>
        <v/>
      </c>
      <c r="AY6" s="120"/>
      <c r="AZ6" s="120"/>
      <c r="BA6" s="116"/>
      <c r="BB6" s="699">
        <f t="shared" si="22"/>
        <v>0</v>
      </c>
      <c r="BC6" s="699">
        <f t="shared" si="16"/>
        <v>0</v>
      </c>
      <c r="BD6" s="116"/>
      <c r="BE6" s="527" t="str">
        <f t="shared" si="23"/>
        <v/>
      </c>
      <c r="BF6" s="268">
        <f t="shared" si="24"/>
        <v>0</v>
      </c>
      <c r="BG6" s="268" t="str">
        <f t="shared" si="25"/>
        <v/>
      </c>
      <c r="BH6" s="268"/>
      <c r="BI6" s="268">
        <f t="shared" si="26"/>
        <v>0</v>
      </c>
      <c r="BJ6" s="268">
        <f t="shared" si="27"/>
        <v>0</v>
      </c>
      <c r="BK6" s="268">
        <f t="shared" si="28"/>
        <v>0</v>
      </c>
      <c r="BL6" s="268" t="str">
        <f t="shared" si="29"/>
        <v/>
      </c>
      <c r="BM6" s="275">
        <f t="shared" si="30"/>
        <v>0</v>
      </c>
      <c r="BN6" s="275">
        <f t="shared" si="31"/>
        <v>0</v>
      </c>
      <c r="BO6" s="301">
        <f t="shared" si="32"/>
        <v>0</v>
      </c>
      <c r="BP6" s="266" t="str">
        <f>IF(J6="","",(J6*Prezzi!$E$31)+L6)</f>
        <v/>
      </c>
      <c r="BQ6" s="120">
        <f t="shared" si="33"/>
        <v>0</v>
      </c>
      <c r="BR6" s="564">
        <f t="shared" si="34"/>
        <v>0</v>
      </c>
      <c r="BS6" s="120">
        <f t="shared" si="35"/>
        <v>0</v>
      </c>
      <c r="CA6"/>
    </row>
    <row r="7" spans="1:79" x14ac:dyDescent="0.15">
      <c r="A7" s="307">
        <v>4</v>
      </c>
      <c r="B7" s="282"/>
      <c r="C7" s="645"/>
      <c r="D7" s="646"/>
      <c r="E7" s="647"/>
      <c r="F7" s="645"/>
      <c r="G7" s="646"/>
      <c r="H7" s="647"/>
      <c r="I7" s="282"/>
      <c r="J7" s="795"/>
      <c r="K7" s="796"/>
      <c r="L7" s="784"/>
      <c r="M7" s="785"/>
      <c r="N7" s="786"/>
      <c r="O7" s="282"/>
      <c r="P7" s="610"/>
      <c r="Q7" s="362">
        <f t="shared" si="36"/>
        <v>0</v>
      </c>
      <c r="R7" s="363"/>
      <c r="S7" s="232">
        <f t="shared" si="17"/>
        <v>0</v>
      </c>
      <c r="T7" s="233"/>
      <c r="U7" s="233"/>
      <c r="V7" s="385" t="str">
        <f>IF(J7="","",IF(C7="Acquisti",F7,(Z7*Prezzi!$E$31)+L7))</f>
        <v/>
      </c>
      <c r="W7" s="431"/>
      <c r="X7" s="386"/>
      <c r="Y7" s="488" t="str">
        <f t="shared" si="0"/>
        <v/>
      </c>
      <c r="Z7" s="452">
        <f t="shared" si="1"/>
        <v>0</v>
      </c>
      <c r="AB7" s="266">
        <f t="shared" si="18"/>
        <v>0</v>
      </c>
      <c r="AC7" s="120">
        <f t="shared" si="2"/>
        <v>0</v>
      </c>
      <c r="AD7" s="122">
        <v>1</v>
      </c>
      <c r="AE7" s="120">
        <f>IF(C7=0,0,SUMIF(C7:C$53,C7,AD7:AD$53))</f>
        <v>0</v>
      </c>
      <c r="AF7" s="120">
        <f t="shared" si="3"/>
        <v>0</v>
      </c>
      <c r="AG7" s="120">
        <f t="shared" si="19"/>
        <v>0</v>
      </c>
      <c r="AH7" s="120">
        <f t="shared" si="4"/>
        <v>0</v>
      </c>
      <c r="AI7" s="120">
        <f t="shared" si="5"/>
        <v>0</v>
      </c>
      <c r="AJ7" s="120">
        <f t="shared" si="6"/>
        <v>0</v>
      </c>
      <c r="AK7" s="526">
        <f t="shared" si="7"/>
        <v>0</v>
      </c>
      <c r="AL7" s="120">
        <f t="shared" si="8"/>
        <v>0</v>
      </c>
      <c r="AM7" s="120" t="str">
        <f t="shared" si="9"/>
        <v/>
      </c>
      <c r="AN7" s="120"/>
      <c r="AP7" s="120">
        <f>IF(F7=0,0,SUMIF(F7:F$53,F7,AD7:AD$53))</f>
        <v>0</v>
      </c>
      <c r="AQ7" s="120">
        <f t="shared" si="10"/>
        <v>0</v>
      </c>
      <c r="AR7" s="120">
        <f t="shared" si="20"/>
        <v>0</v>
      </c>
      <c r="AS7" s="120">
        <f t="shared" si="11"/>
        <v>0</v>
      </c>
      <c r="AT7" s="120">
        <f t="shared" si="12"/>
        <v>0</v>
      </c>
      <c r="AU7" s="120">
        <f t="shared" si="21"/>
        <v>0</v>
      </c>
      <c r="AV7" s="120">
        <f t="shared" si="13"/>
        <v>0</v>
      </c>
      <c r="AW7" s="120">
        <f t="shared" si="14"/>
        <v>0</v>
      </c>
      <c r="AX7" s="120" t="str">
        <f t="shared" si="15"/>
        <v/>
      </c>
      <c r="AY7" s="120"/>
      <c r="AZ7" s="120"/>
      <c r="BA7" s="116"/>
      <c r="BB7" s="699">
        <f t="shared" si="22"/>
        <v>0</v>
      </c>
      <c r="BC7" s="699">
        <f t="shared" si="16"/>
        <v>0</v>
      </c>
      <c r="BD7" s="116"/>
      <c r="BE7" s="527" t="str">
        <f t="shared" si="23"/>
        <v/>
      </c>
      <c r="BF7" s="268">
        <f t="shared" si="24"/>
        <v>0</v>
      </c>
      <c r="BG7" s="268" t="str">
        <f t="shared" si="25"/>
        <v/>
      </c>
      <c r="BH7" s="268"/>
      <c r="BI7" s="268">
        <f t="shared" si="26"/>
        <v>0</v>
      </c>
      <c r="BJ7" s="268">
        <f t="shared" si="27"/>
        <v>0</v>
      </c>
      <c r="BK7" s="268">
        <f t="shared" si="28"/>
        <v>0</v>
      </c>
      <c r="BL7" s="268" t="str">
        <f t="shared" si="29"/>
        <v/>
      </c>
      <c r="BM7" s="275">
        <f t="shared" si="30"/>
        <v>0</v>
      </c>
      <c r="BN7" s="275">
        <f t="shared" si="31"/>
        <v>0</v>
      </c>
      <c r="BO7" s="301">
        <f t="shared" si="32"/>
        <v>0</v>
      </c>
      <c r="BP7" s="266" t="str">
        <f>IF(J7="","",(J7*Prezzi!$E$31)+L7)</f>
        <v/>
      </c>
      <c r="BQ7" s="120">
        <f t="shared" si="33"/>
        <v>0</v>
      </c>
      <c r="BR7" s="564">
        <f t="shared" si="34"/>
        <v>0</v>
      </c>
      <c r="BS7" s="120">
        <f t="shared" si="35"/>
        <v>0</v>
      </c>
      <c r="CA7"/>
    </row>
    <row r="8" spans="1:79" x14ac:dyDescent="0.15">
      <c r="A8" s="307">
        <v>5</v>
      </c>
      <c r="B8" s="282"/>
      <c r="C8" s="645"/>
      <c r="D8" s="646"/>
      <c r="E8" s="647"/>
      <c r="F8" s="645"/>
      <c r="G8" s="646"/>
      <c r="H8" s="647"/>
      <c r="I8" s="282"/>
      <c r="J8" s="795"/>
      <c r="K8" s="796"/>
      <c r="L8" s="784"/>
      <c r="M8" s="785"/>
      <c r="N8" s="786"/>
      <c r="O8" s="282"/>
      <c r="P8" s="610"/>
      <c r="Q8" s="362">
        <f t="shared" si="36"/>
        <v>0</v>
      </c>
      <c r="R8" s="363"/>
      <c r="S8" s="232">
        <f t="shared" si="17"/>
        <v>0</v>
      </c>
      <c r="T8" s="233"/>
      <c r="U8" s="233"/>
      <c r="V8" s="385" t="str">
        <f>IF(J8="","",IF(C8="Acquisti",F8,(Z8*Prezzi!$E$31)+L8))</f>
        <v/>
      </c>
      <c r="W8" s="431"/>
      <c r="X8" s="386"/>
      <c r="Y8" s="488" t="str">
        <f t="shared" si="0"/>
        <v/>
      </c>
      <c r="Z8" s="452">
        <f t="shared" si="1"/>
        <v>0</v>
      </c>
      <c r="AB8" s="266">
        <f t="shared" si="18"/>
        <v>0</v>
      </c>
      <c r="AC8" s="120">
        <f t="shared" si="2"/>
        <v>0</v>
      </c>
      <c r="AD8" s="122">
        <v>1</v>
      </c>
      <c r="AE8" s="120">
        <f>IF(C8=0,0,SUMIF(C8:C$53,C8,AD8:AD$53))</f>
        <v>0</v>
      </c>
      <c r="AF8" s="120">
        <f t="shared" si="3"/>
        <v>0</v>
      </c>
      <c r="AG8" s="120">
        <f t="shared" si="19"/>
        <v>0</v>
      </c>
      <c r="AH8" s="120">
        <f t="shared" si="4"/>
        <v>0</v>
      </c>
      <c r="AI8" s="120">
        <f t="shared" si="5"/>
        <v>0</v>
      </c>
      <c r="AJ8" s="120">
        <f t="shared" si="6"/>
        <v>0</v>
      </c>
      <c r="AK8" s="526">
        <f t="shared" si="7"/>
        <v>0</v>
      </c>
      <c r="AL8" s="120">
        <f t="shared" si="8"/>
        <v>0</v>
      </c>
      <c r="AM8" s="120" t="str">
        <f t="shared" si="9"/>
        <v/>
      </c>
      <c r="AN8" s="120"/>
      <c r="AP8" s="120">
        <f>IF(F8=0,0,SUMIF(F8:F$53,F8,AD8:AD$53))</f>
        <v>0</v>
      </c>
      <c r="AQ8" s="120">
        <f t="shared" si="10"/>
        <v>0</v>
      </c>
      <c r="AR8" s="120">
        <f t="shared" si="20"/>
        <v>0</v>
      </c>
      <c r="AS8" s="120">
        <f t="shared" si="11"/>
        <v>0</v>
      </c>
      <c r="AT8" s="120">
        <f t="shared" si="12"/>
        <v>0</v>
      </c>
      <c r="AU8" s="120">
        <f t="shared" si="21"/>
        <v>0</v>
      </c>
      <c r="AV8" s="120">
        <f t="shared" si="13"/>
        <v>0</v>
      </c>
      <c r="AW8" s="120">
        <f t="shared" si="14"/>
        <v>0</v>
      </c>
      <c r="AX8" s="120" t="str">
        <f t="shared" si="15"/>
        <v/>
      </c>
      <c r="AY8" s="120"/>
      <c r="AZ8" s="120"/>
      <c r="BA8" s="116"/>
      <c r="BB8" s="699">
        <f t="shared" si="22"/>
        <v>0</v>
      </c>
      <c r="BC8" s="699">
        <f t="shared" si="16"/>
        <v>0</v>
      </c>
      <c r="BD8" s="116"/>
      <c r="BE8" s="527" t="str">
        <f t="shared" si="23"/>
        <v/>
      </c>
      <c r="BF8" s="268">
        <f t="shared" si="24"/>
        <v>0</v>
      </c>
      <c r="BG8" s="268" t="str">
        <f t="shared" si="25"/>
        <v/>
      </c>
      <c r="BH8" s="268"/>
      <c r="BI8" s="268">
        <f t="shared" si="26"/>
        <v>0</v>
      </c>
      <c r="BJ8" s="268">
        <f t="shared" si="27"/>
        <v>0</v>
      </c>
      <c r="BK8" s="268">
        <f t="shared" si="28"/>
        <v>0</v>
      </c>
      <c r="BL8" s="268" t="str">
        <f t="shared" si="29"/>
        <v/>
      </c>
      <c r="BM8" s="275">
        <f t="shared" si="30"/>
        <v>0</v>
      </c>
      <c r="BN8" s="275">
        <f t="shared" si="31"/>
        <v>0</v>
      </c>
      <c r="BO8" s="301">
        <f t="shared" si="32"/>
        <v>0</v>
      </c>
      <c r="BP8" s="266" t="str">
        <f>IF(J8="","",(J8*Prezzi!$E$31)+L8)</f>
        <v/>
      </c>
      <c r="BQ8" s="120">
        <f t="shared" si="33"/>
        <v>0</v>
      </c>
      <c r="BR8" s="564">
        <f t="shared" si="34"/>
        <v>0</v>
      </c>
      <c r="BS8" s="120">
        <f t="shared" si="35"/>
        <v>0</v>
      </c>
      <c r="CA8"/>
    </row>
    <row r="9" spans="1:79" x14ac:dyDescent="0.15">
      <c r="A9" s="307">
        <v>6</v>
      </c>
      <c r="B9" s="282"/>
      <c r="C9" s="645"/>
      <c r="D9" s="646"/>
      <c r="E9" s="647"/>
      <c r="F9" s="645"/>
      <c r="G9" s="646"/>
      <c r="H9" s="647"/>
      <c r="I9" s="282"/>
      <c r="J9" s="795"/>
      <c r="K9" s="796"/>
      <c r="L9" s="784"/>
      <c r="M9" s="785"/>
      <c r="N9" s="786"/>
      <c r="O9" s="282"/>
      <c r="P9" s="610"/>
      <c r="Q9" s="362">
        <f t="shared" si="36"/>
        <v>0</v>
      </c>
      <c r="R9" s="363"/>
      <c r="S9" s="232">
        <f t="shared" si="17"/>
        <v>0</v>
      </c>
      <c r="T9" s="233"/>
      <c r="U9" s="233"/>
      <c r="V9" s="385" t="str">
        <f>IF(J9="","",IF(C9="Acquisti",F9,(Z9*Prezzi!$E$31)+L9))</f>
        <v/>
      </c>
      <c r="W9" s="431"/>
      <c r="X9" s="386"/>
      <c r="Y9" s="488" t="str">
        <f t="shared" si="0"/>
        <v/>
      </c>
      <c r="Z9" s="452">
        <f t="shared" si="1"/>
        <v>0</v>
      </c>
      <c r="AB9" s="266">
        <f t="shared" si="18"/>
        <v>0</v>
      </c>
      <c r="AC9" s="120">
        <f t="shared" si="2"/>
        <v>0</v>
      </c>
      <c r="AD9" s="122">
        <v>1</v>
      </c>
      <c r="AE9" s="120">
        <f>IF(C9=0,0,SUMIF(C9:C$53,C9,AD9:AD$53))</f>
        <v>0</v>
      </c>
      <c r="AF9" s="120">
        <f t="shared" si="3"/>
        <v>0</v>
      </c>
      <c r="AG9" s="120">
        <f t="shared" si="19"/>
        <v>0</v>
      </c>
      <c r="AH9" s="120">
        <f t="shared" si="4"/>
        <v>0</v>
      </c>
      <c r="AI9" s="120">
        <f t="shared" si="5"/>
        <v>0</v>
      </c>
      <c r="AJ9" s="120">
        <f t="shared" si="6"/>
        <v>0</v>
      </c>
      <c r="AK9" s="526">
        <f t="shared" si="7"/>
        <v>0</v>
      </c>
      <c r="AL9" s="120">
        <f t="shared" si="8"/>
        <v>0</v>
      </c>
      <c r="AM9" s="120" t="str">
        <f t="shared" si="9"/>
        <v/>
      </c>
      <c r="AN9" s="120"/>
      <c r="AP9" s="120">
        <f>IF(F9=0,0,SUMIF(F9:F$53,F9,AD9:AD$53))</f>
        <v>0</v>
      </c>
      <c r="AQ9" s="120">
        <f t="shared" si="10"/>
        <v>0</v>
      </c>
      <c r="AR9" s="120">
        <f t="shared" si="20"/>
        <v>0</v>
      </c>
      <c r="AS9" s="120">
        <f t="shared" si="11"/>
        <v>0</v>
      </c>
      <c r="AT9" s="120">
        <f t="shared" si="12"/>
        <v>0</v>
      </c>
      <c r="AU9" s="120">
        <f t="shared" si="21"/>
        <v>0</v>
      </c>
      <c r="AV9" s="120">
        <f t="shared" si="13"/>
        <v>0</v>
      </c>
      <c r="AW9" s="120">
        <f t="shared" si="14"/>
        <v>0</v>
      </c>
      <c r="AX9" s="120" t="str">
        <f t="shared" si="15"/>
        <v/>
      </c>
      <c r="AY9" s="120"/>
      <c r="AZ9" s="120"/>
      <c r="BA9" s="116"/>
      <c r="BB9" s="699">
        <f t="shared" si="22"/>
        <v>0</v>
      </c>
      <c r="BC9" s="699">
        <f t="shared" si="16"/>
        <v>0</v>
      </c>
      <c r="BD9" s="116"/>
      <c r="BE9" s="527" t="str">
        <f t="shared" si="23"/>
        <v/>
      </c>
      <c r="BF9" s="268">
        <f t="shared" si="24"/>
        <v>0</v>
      </c>
      <c r="BG9" s="268" t="str">
        <f t="shared" si="25"/>
        <v/>
      </c>
      <c r="BH9" s="268"/>
      <c r="BI9" s="268">
        <f t="shared" si="26"/>
        <v>0</v>
      </c>
      <c r="BJ9" s="268">
        <f t="shared" si="27"/>
        <v>0</v>
      </c>
      <c r="BK9" s="268">
        <f t="shared" si="28"/>
        <v>0</v>
      </c>
      <c r="BL9" s="268" t="str">
        <f t="shared" si="29"/>
        <v/>
      </c>
      <c r="BM9" s="275">
        <f t="shared" si="30"/>
        <v>0</v>
      </c>
      <c r="BN9" s="275">
        <f t="shared" si="31"/>
        <v>0</v>
      </c>
      <c r="BO9" s="301">
        <f t="shared" si="32"/>
        <v>0</v>
      </c>
      <c r="BP9" s="266" t="str">
        <f>IF(J9="","",(J9*Prezzi!$E$31)+L9)</f>
        <v/>
      </c>
      <c r="BQ9" s="120">
        <f t="shared" si="33"/>
        <v>0</v>
      </c>
      <c r="BR9" s="564">
        <f t="shared" si="34"/>
        <v>0</v>
      </c>
      <c r="BS9" s="120">
        <f t="shared" si="35"/>
        <v>0</v>
      </c>
      <c r="CA9"/>
    </row>
    <row r="10" spans="1:79" x14ac:dyDescent="0.15">
      <c r="A10" s="307">
        <v>7</v>
      </c>
      <c r="B10" s="282"/>
      <c r="C10" s="645"/>
      <c r="D10" s="646"/>
      <c r="E10" s="647"/>
      <c r="F10" s="645"/>
      <c r="G10" s="646"/>
      <c r="H10" s="648"/>
      <c r="I10" s="282"/>
      <c r="J10" s="795"/>
      <c r="K10" s="796"/>
      <c r="L10" s="784"/>
      <c r="M10" s="785"/>
      <c r="N10" s="786"/>
      <c r="O10" s="282"/>
      <c r="P10" s="610"/>
      <c r="Q10" s="362">
        <f t="shared" si="36"/>
        <v>0</v>
      </c>
      <c r="R10" s="363"/>
      <c r="S10" s="232">
        <f t="shared" si="17"/>
        <v>0</v>
      </c>
      <c r="T10" s="233"/>
      <c r="U10" s="233"/>
      <c r="V10" s="385" t="str">
        <f>IF(J10="","",IF(C10="Acquisti",F10,(Z10*Prezzi!$E$31)+L10))</f>
        <v/>
      </c>
      <c r="W10" s="431"/>
      <c r="X10" s="386"/>
      <c r="Y10" s="488" t="str">
        <f t="shared" si="0"/>
        <v/>
      </c>
      <c r="Z10" s="452">
        <f t="shared" si="1"/>
        <v>0</v>
      </c>
      <c r="AB10" s="266">
        <f t="shared" si="18"/>
        <v>0</v>
      </c>
      <c r="AC10" s="120">
        <f t="shared" si="2"/>
        <v>0</v>
      </c>
      <c r="AD10" s="122">
        <v>1</v>
      </c>
      <c r="AE10" s="120">
        <f>IF(C10=0,0,SUMIF(C10:C$53,C10,AD10:AD$53))</f>
        <v>0</v>
      </c>
      <c r="AF10" s="120">
        <f t="shared" si="3"/>
        <v>0</v>
      </c>
      <c r="AG10" s="120">
        <f t="shared" si="19"/>
        <v>0</v>
      </c>
      <c r="AH10" s="120">
        <f t="shared" si="4"/>
        <v>0</v>
      </c>
      <c r="AI10" s="120">
        <f t="shared" si="5"/>
        <v>0</v>
      </c>
      <c r="AJ10" s="120">
        <f t="shared" si="6"/>
        <v>0</v>
      </c>
      <c r="AK10" s="526">
        <f t="shared" si="7"/>
        <v>0</v>
      </c>
      <c r="AL10" s="120">
        <f t="shared" si="8"/>
        <v>0</v>
      </c>
      <c r="AM10" s="120" t="str">
        <f t="shared" si="9"/>
        <v/>
      </c>
      <c r="AN10" s="120"/>
      <c r="AP10" s="120">
        <f>IF(F10=0,0,SUMIF(F10:F$53,F10,AD10:AD$53))</f>
        <v>0</v>
      </c>
      <c r="AQ10" s="120">
        <f t="shared" si="10"/>
        <v>0</v>
      </c>
      <c r="AR10" s="120">
        <f t="shared" si="20"/>
        <v>0</v>
      </c>
      <c r="AS10" s="120">
        <f t="shared" si="11"/>
        <v>0</v>
      </c>
      <c r="AT10" s="120">
        <f t="shared" si="12"/>
        <v>0</v>
      </c>
      <c r="AU10" s="120">
        <f t="shared" si="21"/>
        <v>0</v>
      </c>
      <c r="AV10" s="120">
        <f t="shared" si="13"/>
        <v>0</v>
      </c>
      <c r="AW10" s="120">
        <f t="shared" si="14"/>
        <v>0</v>
      </c>
      <c r="AX10" s="120" t="str">
        <f t="shared" si="15"/>
        <v/>
      </c>
      <c r="AY10" s="120"/>
      <c r="AZ10" s="120"/>
      <c r="BA10" s="116"/>
      <c r="BB10" s="699">
        <f t="shared" si="22"/>
        <v>0</v>
      </c>
      <c r="BC10" s="699">
        <f t="shared" si="16"/>
        <v>0</v>
      </c>
      <c r="BD10" s="116"/>
      <c r="BE10" s="527" t="str">
        <f t="shared" si="23"/>
        <v/>
      </c>
      <c r="BF10" s="268">
        <f t="shared" si="24"/>
        <v>0</v>
      </c>
      <c r="BG10" s="268" t="str">
        <f t="shared" si="25"/>
        <v/>
      </c>
      <c r="BH10" s="268"/>
      <c r="BI10" s="268">
        <f t="shared" si="26"/>
        <v>0</v>
      </c>
      <c r="BJ10" s="268">
        <f t="shared" si="27"/>
        <v>0</v>
      </c>
      <c r="BK10" s="268">
        <f t="shared" si="28"/>
        <v>0</v>
      </c>
      <c r="BL10" s="268" t="str">
        <f t="shared" si="29"/>
        <v/>
      </c>
      <c r="BM10" s="275">
        <f t="shared" si="30"/>
        <v>0</v>
      </c>
      <c r="BN10" s="275">
        <f t="shared" si="31"/>
        <v>0</v>
      </c>
      <c r="BO10" s="301">
        <f t="shared" si="32"/>
        <v>0</v>
      </c>
      <c r="BP10" s="266" t="str">
        <f>IF(J10="","",(J10*Prezzi!$E$31)+L10)</f>
        <v/>
      </c>
      <c r="BQ10" s="120">
        <f t="shared" si="33"/>
        <v>0</v>
      </c>
      <c r="BR10" s="564">
        <f t="shared" si="34"/>
        <v>0</v>
      </c>
      <c r="BS10" s="120">
        <f t="shared" si="35"/>
        <v>0</v>
      </c>
      <c r="CA10"/>
    </row>
    <row r="11" spans="1:79" x14ac:dyDescent="0.15">
      <c r="A11" s="307">
        <v>8</v>
      </c>
      <c r="B11" s="282"/>
      <c r="C11" s="645"/>
      <c r="D11" s="646"/>
      <c r="E11" s="647"/>
      <c r="F11" s="645"/>
      <c r="G11" s="646"/>
      <c r="H11" s="647"/>
      <c r="I11" s="282"/>
      <c r="J11" s="795"/>
      <c r="K11" s="796"/>
      <c r="L11" s="784"/>
      <c r="M11" s="785"/>
      <c r="N11" s="786"/>
      <c r="O11" s="282"/>
      <c r="P11" s="610"/>
      <c r="Q11" s="362">
        <f t="shared" si="36"/>
        <v>0</v>
      </c>
      <c r="R11" s="363"/>
      <c r="S11" s="232">
        <f t="shared" si="17"/>
        <v>0</v>
      </c>
      <c r="T11" s="233"/>
      <c r="U11" s="233"/>
      <c r="V11" s="385" t="str">
        <f>IF(J11="","",IF(C11="Acquisti",F11,(Z11*Prezzi!$E$31)+L11))</f>
        <v/>
      </c>
      <c r="W11" s="431"/>
      <c r="X11" s="386"/>
      <c r="Y11" s="488" t="str">
        <f t="shared" si="0"/>
        <v/>
      </c>
      <c r="Z11" s="452">
        <f t="shared" si="1"/>
        <v>0</v>
      </c>
      <c r="AB11" s="266">
        <f t="shared" si="18"/>
        <v>0</v>
      </c>
      <c r="AC11" s="120">
        <f t="shared" si="2"/>
        <v>0</v>
      </c>
      <c r="AD11" s="122">
        <v>1</v>
      </c>
      <c r="AE11" s="120">
        <f>IF(C11=0,0,SUMIF(C11:C$53,C11,AD11:AD$53))</f>
        <v>0</v>
      </c>
      <c r="AF11" s="120">
        <f t="shared" si="3"/>
        <v>0</v>
      </c>
      <c r="AG11" s="120">
        <f t="shared" si="19"/>
        <v>0</v>
      </c>
      <c r="AH11" s="120">
        <f t="shared" si="4"/>
        <v>0</v>
      </c>
      <c r="AI11" s="120">
        <f t="shared" si="5"/>
        <v>0</v>
      </c>
      <c r="AJ11" s="120">
        <f t="shared" si="6"/>
        <v>0</v>
      </c>
      <c r="AK11" s="526">
        <f t="shared" si="7"/>
        <v>0</v>
      </c>
      <c r="AL11" s="120">
        <f t="shared" si="8"/>
        <v>0</v>
      </c>
      <c r="AM11" s="120" t="str">
        <f t="shared" si="9"/>
        <v/>
      </c>
      <c r="AN11" s="120"/>
      <c r="AP11" s="120">
        <f>IF(F11=0,0,SUMIF(F11:F$53,F11,AD11:AD$53))</f>
        <v>0</v>
      </c>
      <c r="AQ11" s="120">
        <f t="shared" si="10"/>
        <v>0</v>
      </c>
      <c r="AR11" s="120">
        <f t="shared" si="20"/>
        <v>0</v>
      </c>
      <c r="AS11" s="120">
        <f t="shared" si="11"/>
        <v>0</v>
      </c>
      <c r="AT11" s="120">
        <f t="shared" si="12"/>
        <v>0</v>
      </c>
      <c r="AU11" s="120">
        <f t="shared" si="21"/>
        <v>0</v>
      </c>
      <c r="AV11" s="120">
        <f t="shared" si="13"/>
        <v>0</v>
      </c>
      <c r="AW11" s="120">
        <f t="shared" si="14"/>
        <v>0</v>
      </c>
      <c r="AX11" s="120" t="str">
        <f t="shared" si="15"/>
        <v/>
      </c>
      <c r="AY11" s="120"/>
      <c r="AZ11" s="120"/>
      <c r="BA11" s="116"/>
      <c r="BB11" s="699">
        <f t="shared" si="22"/>
        <v>0</v>
      </c>
      <c r="BC11" s="699">
        <f t="shared" si="16"/>
        <v>0</v>
      </c>
      <c r="BD11" s="116"/>
      <c r="BE11" s="527" t="str">
        <f t="shared" si="23"/>
        <v/>
      </c>
      <c r="BF11" s="268">
        <f t="shared" si="24"/>
        <v>0</v>
      </c>
      <c r="BG11" s="268" t="str">
        <f t="shared" si="25"/>
        <v/>
      </c>
      <c r="BH11" s="268"/>
      <c r="BI11" s="268">
        <f t="shared" si="26"/>
        <v>0</v>
      </c>
      <c r="BJ11" s="268">
        <f t="shared" si="27"/>
        <v>0</v>
      </c>
      <c r="BK11" s="268">
        <f t="shared" si="28"/>
        <v>0</v>
      </c>
      <c r="BL11" s="268" t="str">
        <f t="shared" si="29"/>
        <v/>
      </c>
      <c r="BM11" s="275">
        <f t="shared" si="30"/>
        <v>0</v>
      </c>
      <c r="BN11" s="275">
        <f t="shared" si="31"/>
        <v>0</v>
      </c>
      <c r="BO11" s="301">
        <f t="shared" si="32"/>
        <v>0</v>
      </c>
      <c r="BP11" s="266" t="str">
        <f>IF(J11="","",(J11*Prezzi!$E$31)+L11)</f>
        <v/>
      </c>
      <c r="BQ11" s="120">
        <f t="shared" si="33"/>
        <v>0</v>
      </c>
      <c r="BR11" s="564">
        <f t="shared" si="34"/>
        <v>0</v>
      </c>
      <c r="BS11" s="120">
        <f t="shared" si="35"/>
        <v>0</v>
      </c>
      <c r="CA11"/>
    </row>
    <row r="12" spans="1:79" x14ac:dyDescent="0.15">
      <c r="A12" s="307">
        <v>9</v>
      </c>
      <c r="B12" s="282"/>
      <c r="C12" s="645"/>
      <c r="D12" s="646"/>
      <c r="E12" s="647"/>
      <c r="F12" s="645"/>
      <c r="G12" s="646"/>
      <c r="H12" s="647"/>
      <c r="I12" s="282"/>
      <c r="J12" s="795"/>
      <c r="K12" s="796"/>
      <c r="L12" s="784"/>
      <c r="M12" s="785"/>
      <c r="N12" s="786"/>
      <c r="O12" s="282"/>
      <c r="P12" s="610"/>
      <c r="Q12" s="362">
        <f t="shared" si="36"/>
        <v>0</v>
      </c>
      <c r="R12" s="363"/>
      <c r="S12" s="232">
        <f t="shared" si="17"/>
        <v>0</v>
      </c>
      <c r="T12" s="233"/>
      <c r="U12" s="233"/>
      <c r="V12" s="385" t="str">
        <f>IF(J12="","",IF(C12="Acquisti",F12,(Z12*Prezzi!$E$31)+L12))</f>
        <v/>
      </c>
      <c r="W12" s="431"/>
      <c r="X12" s="386"/>
      <c r="Y12" s="488" t="str">
        <f t="shared" ref="Y12:Y53" si="37">IF(J12=Z12,IF(AC12=0,"",1),IF(AC12=0,2,3))</f>
        <v/>
      </c>
      <c r="Z12" s="452">
        <f t="shared" si="1"/>
        <v>0</v>
      </c>
      <c r="AB12" s="266">
        <f t="shared" si="18"/>
        <v>0</v>
      </c>
      <c r="AC12" s="120">
        <f t="shared" si="2"/>
        <v>0</v>
      </c>
      <c r="AD12" s="122">
        <v>1</v>
      </c>
      <c r="AE12" s="120">
        <f>IF(C12=0,0,SUMIF(C12:C$53,C12,AD12:AD$53))</f>
        <v>0</v>
      </c>
      <c r="AF12" s="120">
        <f t="shared" si="3"/>
        <v>0</v>
      </c>
      <c r="AG12" s="120">
        <f t="shared" si="19"/>
        <v>0</v>
      </c>
      <c r="AH12" s="120">
        <f t="shared" si="4"/>
        <v>0</v>
      </c>
      <c r="AI12" s="120">
        <f t="shared" si="5"/>
        <v>0</v>
      </c>
      <c r="AJ12" s="120">
        <f t="shared" si="6"/>
        <v>0</v>
      </c>
      <c r="AK12" s="526">
        <f t="shared" si="7"/>
        <v>0</v>
      </c>
      <c r="AL12" s="120">
        <f t="shared" si="8"/>
        <v>0</v>
      </c>
      <c r="AM12" s="120" t="str">
        <f t="shared" si="9"/>
        <v/>
      </c>
      <c r="AN12" s="120"/>
      <c r="AP12" s="120">
        <f>IF(F12=0,0,SUMIF(F12:F$53,F12,AD12:AD$53))</f>
        <v>0</v>
      </c>
      <c r="AQ12" s="120">
        <f t="shared" si="10"/>
        <v>0</v>
      </c>
      <c r="AR12" s="120">
        <f t="shared" si="20"/>
        <v>0</v>
      </c>
      <c r="AS12" s="120">
        <f t="shared" si="11"/>
        <v>0</v>
      </c>
      <c r="AT12" s="120">
        <f t="shared" si="12"/>
        <v>0</v>
      </c>
      <c r="AU12" s="120">
        <f t="shared" si="21"/>
        <v>0</v>
      </c>
      <c r="AV12" s="120">
        <f t="shared" si="13"/>
        <v>0</v>
      </c>
      <c r="AW12" s="120">
        <f t="shared" si="14"/>
        <v>0</v>
      </c>
      <c r="AX12" s="120" t="str">
        <f t="shared" si="15"/>
        <v/>
      </c>
      <c r="AY12" s="120"/>
      <c r="AZ12" s="120"/>
      <c r="BA12" s="116"/>
      <c r="BB12" s="699">
        <f t="shared" si="22"/>
        <v>0</v>
      </c>
      <c r="BC12" s="699">
        <f>IF(C12="Acquisti",F12*BQ12,0)</f>
        <v>0</v>
      </c>
      <c r="BD12" s="116"/>
      <c r="BE12" s="527" t="str">
        <f t="shared" si="23"/>
        <v/>
      </c>
      <c r="BF12" s="268">
        <f t="shared" si="24"/>
        <v>0</v>
      </c>
      <c r="BG12" s="268" t="str">
        <f t="shared" si="25"/>
        <v/>
      </c>
      <c r="BH12" s="268"/>
      <c r="BI12" s="268">
        <f t="shared" si="26"/>
        <v>0</v>
      </c>
      <c r="BJ12" s="268">
        <f t="shared" si="27"/>
        <v>0</v>
      </c>
      <c r="BK12" s="268">
        <f t="shared" si="28"/>
        <v>0</v>
      </c>
      <c r="BL12" s="268" t="str">
        <f t="shared" si="29"/>
        <v/>
      </c>
      <c r="BM12" s="275">
        <f t="shared" si="30"/>
        <v>0</v>
      </c>
      <c r="BN12" s="275">
        <f t="shared" si="31"/>
        <v>0</v>
      </c>
      <c r="BO12" s="301">
        <f t="shared" si="32"/>
        <v>0</v>
      </c>
      <c r="BP12" s="266" t="str">
        <f>IF(J12="","",(J12*Prezzi!$E$31)+L12)</f>
        <v/>
      </c>
      <c r="BQ12" s="120">
        <f t="shared" si="33"/>
        <v>0</v>
      </c>
      <c r="BR12" s="564">
        <f t="shared" si="34"/>
        <v>0</v>
      </c>
      <c r="BS12" s="120">
        <f t="shared" si="35"/>
        <v>0</v>
      </c>
      <c r="CA12"/>
    </row>
    <row r="13" spans="1:79" x14ac:dyDescent="0.15">
      <c r="A13" s="307">
        <v>10</v>
      </c>
      <c r="B13" s="282"/>
      <c r="C13" s="645"/>
      <c r="D13" s="646"/>
      <c r="E13" s="647"/>
      <c r="F13" s="645"/>
      <c r="G13" s="646"/>
      <c r="H13" s="647"/>
      <c r="I13" s="282"/>
      <c r="J13" s="795"/>
      <c r="K13" s="796"/>
      <c r="L13" s="784"/>
      <c r="M13" s="785"/>
      <c r="N13" s="786"/>
      <c r="O13" s="282"/>
      <c r="P13" s="610"/>
      <c r="Q13" s="362">
        <f t="shared" si="36"/>
        <v>0</v>
      </c>
      <c r="R13" s="363"/>
      <c r="S13" s="232">
        <f t="shared" si="17"/>
        <v>0</v>
      </c>
      <c r="T13" s="233"/>
      <c r="U13" s="233"/>
      <c r="V13" s="385" t="str">
        <f>IF(J13="","",IF(C13="Acquisti",F13,(Z13*Prezzi!$E$31)+L13))</f>
        <v/>
      </c>
      <c r="W13" s="431"/>
      <c r="X13" s="386"/>
      <c r="Y13" s="488" t="str">
        <f t="shared" si="37"/>
        <v/>
      </c>
      <c r="Z13" s="452">
        <f t="shared" si="1"/>
        <v>0</v>
      </c>
      <c r="AB13" s="266">
        <f t="shared" si="18"/>
        <v>0</v>
      </c>
      <c r="AC13" s="120">
        <f t="shared" si="2"/>
        <v>0</v>
      </c>
      <c r="AD13" s="122">
        <v>1</v>
      </c>
      <c r="AE13" s="120">
        <f>IF(C13=0,0,SUMIF(C13:C$53,C13,AD13:AD$53))</f>
        <v>0</v>
      </c>
      <c r="AF13" s="120">
        <f t="shared" si="3"/>
        <v>0</v>
      </c>
      <c r="AG13" s="120">
        <f t="shared" si="19"/>
        <v>0</v>
      </c>
      <c r="AH13" s="120">
        <f t="shared" si="4"/>
        <v>0</v>
      </c>
      <c r="AI13" s="120">
        <f t="shared" si="5"/>
        <v>0</v>
      </c>
      <c r="AJ13" s="120">
        <f t="shared" ref="AJ13:AJ53" si="38">IF(AI13=AI12,0,AI13)</f>
        <v>0</v>
      </c>
      <c r="AK13" s="526">
        <f t="shared" si="7"/>
        <v>0</v>
      </c>
      <c r="AL13" s="120">
        <f t="shared" si="8"/>
        <v>0</v>
      </c>
      <c r="AM13" s="120" t="str">
        <f t="shared" si="9"/>
        <v/>
      </c>
      <c r="AN13" s="120"/>
      <c r="AP13" s="120">
        <f>IF(F13=0,0,SUMIF(F13:F$53,F13,AD13:AD$53))</f>
        <v>0</v>
      </c>
      <c r="AQ13" s="120">
        <f t="shared" si="10"/>
        <v>0</v>
      </c>
      <c r="AR13" s="120">
        <f t="shared" si="20"/>
        <v>0</v>
      </c>
      <c r="AS13" s="120">
        <f t="shared" si="11"/>
        <v>0</v>
      </c>
      <c r="AT13" s="120">
        <f t="shared" si="12"/>
        <v>0</v>
      </c>
      <c r="AU13" s="120">
        <f t="shared" si="21"/>
        <v>0</v>
      </c>
      <c r="AV13" s="120">
        <f t="shared" si="13"/>
        <v>0</v>
      </c>
      <c r="AW13" s="120">
        <f t="shared" si="14"/>
        <v>0</v>
      </c>
      <c r="AX13" s="120" t="str">
        <f t="shared" si="15"/>
        <v/>
      </c>
      <c r="AY13" s="120"/>
      <c r="AZ13" s="120"/>
      <c r="BA13" s="116"/>
      <c r="BB13" s="699">
        <f t="shared" si="22"/>
        <v>0</v>
      </c>
      <c r="BC13" s="699">
        <f t="shared" ref="BC13:BC53" si="39">IF(C13="Acquisti",F13*BQ13,0)</f>
        <v>0</v>
      </c>
      <c r="BD13" s="116"/>
      <c r="BE13" s="527" t="str">
        <f t="shared" si="23"/>
        <v/>
      </c>
      <c r="BF13" s="268">
        <f t="shared" si="24"/>
        <v>0</v>
      </c>
      <c r="BG13" s="268" t="str">
        <f t="shared" si="25"/>
        <v/>
      </c>
      <c r="BH13" s="268"/>
      <c r="BI13" s="268">
        <f t="shared" si="26"/>
        <v>0</v>
      </c>
      <c r="BJ13" s="268">
        <f t="shared" si="27"/>
        <v>0</v>
      </c>
      <c r="BK13" s="268">
        <f t="shared" si="28"/>
        <v>0</v>
      </c>
      <c r="BL13" s="268" t="str">
        <f t="shared" si="29"/>
        <v/>
      </c>
      <c r="BM13" s="275">
        <f t="shared" si="30"/>
        <v>0</v>
      </c>
      <c r="BN13" s="275">
        <f t="shared" si="31"/>
        <v>0</v>
      </c>
      <c r="BO13" s="301">
        <f t="shared" si="32"/>
        <v>0</v>
      </c>
      <c r="BP13" s="266" t="str">
        <f>IF(J13="","",(J13*Prezzi!$E$31)+L13)</f>
        <v/>
      </c>
      <c r="BQ13" s="120">
        <f t="shared" si="33"/>
        <v>0</v>
      </c>
      <c r="BR13" s="564">
        <f t="shared" si="34"/>
        <v>0</v>
      </c>
      <c r="BS13" s="120">
        <f t="shared" si="35"/>
        <v>0</v>
      </c>
      <c r="CA13"/>
    </row>
    <row r="14" spans="1:79" x14ac:dyDescent="0.15">
      <c r="A14" s="307">
        <v>11</v>
      </c>
      <c r="B14" s="282"/>
      <c r="C14" s="645"/>
      <c r="D14" s="646"/>
      <c r="E14" s="647"/>
      <c r="F14" s="645"/>
      <c r="G14" s="646"/>
      <c r="H14" s="647"/>
      <c r="I14" s="282"/>
      <c r="J14" s="795"/>
      <c r="K14" s="796"/>
      <c r="L14" s="784"/>
      <c r="M14" s="785"/>
      <c r="N14" s="786"/>
      <c r="O14" s="282"/>
      <c r="P14" s="610"/>
      <c r="Q14" s="362">
        <f t="shared" si="36"/>
        <v>0</v>
      </c>
      <c r="R14" s="363"/>
      <c r="S14" s="232">
        <f t="shared" si="17"/>
        <v>0</v>
      </c>
      <c r="T14" s="233"/>
      <c r="U14" s="233"/>
      <c r="V14" s="385" t="str">
        <f>IF(J14="","",IF(C14="Acquisti",F14,(Z14*Prezzi!$E$31)+L14))</f>
        <v/>
      </c>
      <c r="W14" s="431"/>
      <c r="X14" s="386"/>
      <c r="Y14" s="488" t="str">
        <f t="shared" si="37"/>
        <v/>
      </c>
      <c r="Z14" s="452">
        <f t="shared" si="1"/>
        <v>0</v>
      </c>
      <c r="AB14" s="266">
        <f t="shared" si="18"/>
        <v>0</v>
      </c>
      <c r="AC14" s="120">
        <f t="shared" si="2"/>
        <v>0</v>
      </c>
      <c r="AD14" s="122">
        <v>1</v>
      </c>
      <c r="AE14" s="120">
        <f>IF(C14=0,0,SUMIF(C14:C$53,C14,AD14:AD$53))</f>
        <v>0</v>
      </c>
      <c r="AF14" s="120">
        <f>IF(C14=0,0,SUMIF(C$4:C$53,C14,AD$4:AD$53))</f>
        <v>0</v>
      </c>
      <c r="AG14" s="120">
        <f t="shared" si="19"/>
        <v>0</v>
      </c>
      <c r="AH14" s="120">
        <f>IF(C14="",0,IF(OR(AE14=AG14,AG14=0),A14,0))</f>
        <v>0</v>
      </c>
      <c r="AI14" s="120">
        <f>IF(C14="",AI13,IF(OR(AE14=AG14,AG14=0),1,0)+AI13)</f>
        <v>0</v>
      </c>
      <c r="AJ14" s="120">
        <f t="shared" si="38"/>
        <v>0</v>
      </c>
      <c r="AK14" s="526">
        <f t="shared" si="7"/>
        <v>0</v>
      </c>
      <c r="AL14" s="120">
        <f t="shared" si="8"/>
        <v>0</v>
      </c>
      <c r="AM14" s="120" t="str">
        <f t="shared" si="9"/>
        <v/>
      </c>
      <c r="AN14" s="120"/>
      <c r="AP14" s="120">
        <f>IF(F14=0,0,SUMIF(F14:F$53,F14,AD14:AD$53))</f>
        <v>0</v>
      </c>
      <c r="AQ14" s="120">
        <f t="shared" si="10"/>
        <v>0</v>
      </c>
      <c r="AR14" s="120">
        <f t="shared" si="20"/>
        <v>0</v>
      </c>
      <c r="AS14" s="120">
        <f t="shared" si="11"/>
        <v>0</v>
      </c>
      <c r="AT14" s="120">
        <f t="shared" si="12"/>
        <v>0</v>
      </c>
      <c r="AU14" s="120">
        <f t="shared" si="21"/>
        <v>0</v>
      </c>
      <c r="AV14" s="120">
        <f t="shared" si="13"/>
        <v>0</v>
      </c>
      <c r="AW14" s="120">
        <f t="shared" si="14"/>
        <v>0</v>
      </c>
      <c r="AX14" s="120" t="str">
        <f t="shared" si="15"/>
        <v/>
      </c>
      <c r="AY14" s="120"/>
      <c r="AZ14" s="120"/>
      <c r="BA14" s="116"/>
      <c r="BB14" s="699">
        <f t="shared" si="22"/>
        <v>0</v>
      </c>
      <c r="BC14" s="699">
        <f>IF(C14="Acquisti",F14*BQ14,0)</f>
        <v>0</v>
      </c>
      <c r="BD14" s="116"/>
      <c r="BE14" s="527" t="str">
        <f t="shared" si="23"/>
        <v/>
      </c>
      <c r="BF14" s="268">
        <f t="shared" si="24"/>
        <v>0</v>
      </c>
      <c r="BG14" s="268" t="str">
        <f t="shared" si="25"/>
        <v/>
      </c>
      <c r="BH14" s="268"/>
      <c r="BI14" s="268">
        <f t="shared" si="26"/>
        <v>0</v>
      </c>
      <c r="BJ14" s="268">
        <f t="shared" si="27"/>
        <v>0</v>
      </c>
      <c r="BK14" s="268">
        <f t="shared" si="28"/>
        <v>0</v>
      </c>
      <c r="BL14" s="268" t="str">
        <f t="shared" si="29"/>
        <v/>
      </c>
      <c r="BM14" s="275">
        <f t="shared" si="30"/>
        <v>0</v>
      </c>
      <c r="BN14" s="275">
        <f t="shared" si="31"/>
        <v>0</v>
      </c>
      <c r="BO14" s="301">
        <f t="shared" si="32"/>
        <v>0</v>
      </c>
      <c r="BP14" s="266" t="str">
        <f>IF(J14="","",(J14*Prezzi!$E$31)+L14)</f>
        <v/>
      </c>
      <c r="BQ14" s="120">
        <f>IF(B14="",0,IF(P14="",O14+AC14,P14+AC14))</f>
        <v>0</v>
      </c>
      <c r="BR14" s="564">
        <f>IF(B14="",0,V14*BQ14)</f>
        <v>0</v>
      </c>
      <c r="BS14" s="120">
        <f t="shared" si="35"/>
        <v>0</v>
      </c>
      <c r="CA14"/>
    </row>
    <row r="15" spans="1:79" x14ac:dyDescent="0.15">
      <c r="A15" s="307">
        <v>12</v>
      </c>
      <c r="B15" s="282"/>
      <c r="C15" s="645"/>
      <c r="D15" s="646"/>
      <c r="E15" s="647"/>
      <c r="F15" s="645"/>
      <c r="G15" s="646"/>
      <c r="H15" s="647"/>
      <c r="I15" s="282"/>
      <c r="J15" s="795"/>
      <c r="K15" s="796"/>
      <c r="L15" s="784"/>
      <c r="M15" s="785"/>
      <c r="N15" s="786"/>
      <c r="O15" s="282"/>
      <c r="P15" s="610"/>
      <c r="Q15" s="362">
        <f t="shared" si="36"/>
        <v>0</v>
      </c>
      <c r="R15" s="363"/>
      <c r="S15" s="232">
        <f t="shared" si="17"/>
        <v>0</v>
      </c>
      <c r="T15" s="233"/>
      <c r="U15" s="233"/>
      <c r="V15" s="385" t="str">
        <f>IF(J15="","",IF(C15="Acquisti",F15,(Z15*Prezzi!$E$31)+L15))</f>
        <v/>
      </c>
      <c r="W15" s="431"/>
      <c r="X15" s="386"/>
      <c r="Y15" s="488" t="str">
        <f t="shared" si="37"/>
        <v/>
      </c>
      <c r="Z15" s="452">
        <f t="shared" si="1"/>
        <v>0</v>
      </c>
      <c r="AA15" s="403"/>
      <c r="AB15" s="266">
        <f t="shared" si="18"/>
        <v>0</v>
      </c>
      <c r="AC15" s="120">
        <f t="shared" si="2"/>
        <v>0</v>
      </c>
      <c r="AD15" s="122">
        <v>1</v>
      </c>
      <c r="AE15" s="120">
        <f>IF(C15=0,0,SUMIF(C15:C$53,C15,AD15:AD$53))</f>
        <v>0</v>
      </c>
      <c r="AF15" s="120">
        <f t="shared" si="3"/>
        <v>0</v>
      </c>
      <c r="AG15" s="120">
        <f t="shared" si="19"/>
        <v>0</v>
      </c>
      <c r="AH15" s="120">
        <f t="shared" si="4"/>
        <v>0</v>
      </c>
      <c r="AI15" s="120">
        <f t="shared" si="5"/>
        <v>0</v>
      </c>
      <c r="AJ15" s="120">
        <f t="shared" si="38"/>
        <v>0</v>
      </c>
      <c r="AK15" s="526">
        <f t="shared" si="7"/>
        <v>0</v>
      </c>
      <c r="AL15" s="120">
        <f t="shared" si="8"/>
        <v>0</v>
      </c>
      <c r="AM15" s="120" t="str">
        <f t="shared" si="9"/>
        <v/>
      </c>
      <c r="AN15" s="120"/>
      <c r="AP15" s="120">
        <f>IF(F15=0,0,SUMIF(F15:F$53,F15,AD15:AD$53))</f>
        <v>0</v>
      </c>
      <c r="AQ15" s="120">
        <f t="shared" si="10"/>
        <v>0</v>
      </c>
      <c r="AR15" s="120">
        <f t="shared" si="20"/>
        <v>0</v>
      </c>
      <c r="AS15" s="120">
        <f t="shared" si="11"/>
        <v>0</v>
      </c>
      <c r="AT15" s="120">
        <f t="shared" si="12"/>
        <v>0</v>
      </c>
      <c r="AU15" s="120">
        <f t="shared" si="21"/>
        <v>0</v>
      </c>
      <c r="AV15" s="120">
        <f t="shared" si="13"/>
        <v>0</v>
      </c>
      <c r="AW15" s="120">
        <f t="shared" si="14"/>
        <v>0</v>
      </c>
      <c r="AX15" s="120" t="str">
        <f t="shared" si="15"/>
        <v/>
      </c>
      <c r="AY15" s="120"/>
      <c r="AZ15" s="120"/>
      <c r="BA15" s="116"/>
      <c r="BB15" s="699">
        <f t="shared" si="22"/>
        <v>0</v>
      </c>
      <c r="BC15" s="699">
        <f t="shared" si="39"/>
        <v>0</v>
      </c>
      <c r="BD15" s="116"/>
      <c r="BE15" s="527" t="str">
        <f t="shared" si="23"/>
        <v/>
      </c>
      <c r="BF15" s="268">
        <f t="shared" si="24"/>
        <v>0</v>
      </c>
      <c r="BG15" s="268" t="str">
        <f t="shared" si="25"/>
        <v/>
      </c>
      <c r="BH15" s="268"/>
      <c r="BI15" s="268">
        <f t="shared" si="26"/>
        <v>0</v>
      </c>
      <c r="BJ15" s="268">
        <f t="shared" si="27"/>
        <v>0</v>
      </c>
      <c r="BK15" s="268">
        <f t="shared" si="28"/>
        <v>0</v>
      </c>
      <c r="BL15" s="268" t="str">
        <f t="shared" si="29"/>
        <v/>
      </c>
      <c r="BM15" s="275">
        <f t="shared" si="30"/>
        <v>0</v>
      </c>
      <c r="BN15" s="275">
        <f t="shared" si="31"/>
        <v>0</v>
      </c>
      <c r="BO15" s="301">
        <f t="shared" si="32"/>
        <v>0</v>
      </c>
      <c r="BP15" s="266" t="str">
        <f>IF(J15="","",(J15*Prezzi!$E$31)+L15)</f>
        <v/>
      </c>
      <c r="BQ15" s="120">
        <f t="shared" si="33"/>
        <v>0</v>
      </c>
      <c r="BR15" s="564">
        <f t="shared" si="34"/>
        <v>0</v>
      </c>
      <c r="BS15" s="120">
        <f t="shared" si="35"/>
        <v>0</v>
      </c>
      <c r="CA15"/>
    </row>
    <row r="16" spans="1:79" x14ac:dyDescent="0.15">
      <c r="A16" s="307">
        <v>13</v>
      </c>
      <c r="B16" s="282"/>
      <c r="C16" s="645"/>
      <c r="D16" s="646"/>
      <c r="E16" s="647"/>
      <c r="F16" s="645"/>
      <c r="G16" s="646"/>
      <c r="H16" s="647"/>
      <c r="I16" s="282"/>
      <c r="J16" s="795"/>
      <c r="K16" s="796"/>
      <c r="L16" s="784"/>
      <c r="M16" s="785"/>
      <c r="N16" s="786"/>
      <c r="O16" s="282"/>
      <c r="P16" s="610"/>
      <c r="Q16" s="362">
        <f t="shared" si="36"/>
        <v>0</v>
      </c>
      <c r="R16" s="363"/>
      <c r="S16" s="232">
        <f t="shared" si="17"/>
        <v>0</v>
      </c>
      <c r="T16" s="233"/>
      <c r="U16" s="233"/>
      <c r="V16" s="385" t="str">
        <f>IF(J16="","",IF(C16="Acquisti",F16,(Z16*Prezzi!$E$31)+L16))</f>
        <v/>
      </c>
      <c r="W16" s="431"/>
      <c r="X16" s="386"/>
      <c r="Y16" s="488" t="str">
        <f t="shared" si="37"/>
        <v/>
      </c>
      <c r="Z16" s="452">
        <f t="shared" si="1"/>
        <v>0</v>
      </c>
      <c r="AB16" s="266">
        <f t="shared" si="18"/>
        <v>0</v>
      </c>
      <c r="AC16" s="120">
        <f t="shared" si="2"/>
        <v>0</v>
      </c>
      <c r="AD16" s="122">
        <v>1</v>
      </c>
      <c r="AE16" s="120">
        <f>IF(C16=0,0,SUMIF(C16:C$53,C16,AD16:AD$53))</f>
        <v>0</v>
      </c>
      <c r="AF16" s="120">
        <f t="shared" si="3"/>
        <v>0</v>
      </c>
      <c r="AG16" s="120">
        <f t="shared" si="19"/>
        <v>0</v>
      </c>
      <c r="AH16" s="120">
        <f t="shared" si="4"/>
        <v>0</v>
      </c>
      <c r="AI16" s="120">
        <f t="shared" si="5"/>
        <v>0</v>
      </c>
      <c r="AJ16" s="120">
        <f t="shared" si="38"/>
        <v>0</v>
      </c>
      <c r="AK16" s="526">
        <f t="shared" si="7"/>
        <v>0</v>
      </c>
      <c r="AL16" s="120">
        <f t="shared" si="8"/>
        <v>0</v>
      </c>
      <c r="AM16" s="120" t="str">
        <f t="shared" si="9"/>
        <v/>
      </c>
      <c r="AN16" s="120"/>
      <c r="AP16" s="120">
        <f>IF(F16=0,0,SUMIF(F16:F$53,F16,AD16:AD$53))</f>
        <v>0</v>
      </c>
      <c r="AQ16" s="120">
        <f t="shared" si="10"/>
        <v>0</v>
      </c>
      <c r="AR16" s="120">
        <f t="shared" si="20"/>
        <v>0</v>
      </c>
      <c r="AS16" s="120">
        <f t="shared" si="11"/>
        <v>0</v>
      </c>
      <c r="AT16" s="120">
        <f t="shared" si="12"/>
        <v>0</v>
      </c>
      <c r="AU16" s="120">
        <f t="shared" si="21"/>
        <v>0</v>
      </c>
      <c r="AV16" s="120">
        <f t="shared" si="13"/>
        <v>0</v>
      </c>
      <c r="AW16" s="120">
        <f t="shared" si="14"/>
        <v>0</v>
      </c>
      <c r="AX16" s="120" t="str">
        <f t="shared" si="15"/>
        <v/>
      </c>
      <c r="AY16" s="120"/>
      <c r="AZ16" s="120"/>
      <c r="BA16" s="116"/>
      <c r="BB16" s="699">
        <f t="shared" si="22"/>
        <v>0</v>
      </c>
      <c r="BC16" s="699">
        <f t="shared" si="39"/>
        <v>0</v>
      </c>
      <c r="BD16" s="116"/>
      <c r="BE16" s="527" t="str">
        <f t="shared" si="23"/>
        <v/>
      </c>
      <c r="BF16" s="268">
        <f t="shared" si="24"/>
        <v>0</v>
      </c>
      <c r="BG16" s="268" t="str">
        <f t="shared" si="25"/>
        <v/>
      </c>
      <c r="BH16" s="268"/>
      <c r="BI16" s="268">
        <f t="shared" si="26"/>
        <v>0</v>
      </c>
      <c r="BJ16" s="268">
        <f t="shared" si="27"/>
        <v>0</v>
      </c>
      <c r="BK16" s="268">
        <f t="shared" si="28"/>
        <v>0</v>
      </c>
      <c r="BL16" s="268" t="str">
        <f t="shared" si="29"/>
        <v/>
      </c>
      <c r="BM16" s="275">
        <f t="shared" si="30"/>
        <v>0</v>
      </c>
      <c r="BN16" s="275">
        <f t="shared" si="31"/>
        <v>0</v>
      </c>
      <c r="BO16" s="301">
        <f t="shared" si="32"/>
        <v>0</v>
      </c>
      <c r="BP16" s="266" t="str">
        <f>IF(J16="","",(J16*Prezzi!$E$31)+L16)</f>
        <v/>
      </c>
      <c r="BQ16" s="120">
        <f t="shared" si="33"/>
        <v>0</v>
      </c>
      <c r="BR16" s="564">
        <f t="shared" si="34"/>
        <v>0</v>
      </c>
      <c r="BS16" s="120">
        <f t="shared" si="35"/>
        <v>0</v>
      </c>
      <c r="CA16"/>
    </row>
    <row r="17" spans="1:79" x14ac:dyDescent="0.15">
      <c r="A17" s="307">
        <v>14</v>
      </c>
      <c r="B17" s="282"/>
      <c r="C17" s="645"/>
      <c r="D17" s="646"/>
      <c r="E17" s="647"/>
      <c r="F17" s="645"/>
      <c r="G17" s="646"/>
      <c r="H17" s="647"/>
      <c r="I17" s="282"/>
      <c r="J17" s="795"/>
      <c r="K17" s="796"/>
      <c r="L17" s="784"/>
      <c r="M17" s="785"/>
      <c r="N17" s="786"/>
      <c r="O17" s="282"/>
      <c r="P17" s="610"/>
      <c r="Q17" s="362">
        <f t="shared" si="36"/>
        <v>0</v>
      </c>
      <c r="R17" s="363"/>
      <c r="S17" s="232">
        <f t="shared" si="17"/>
        <v>0</v>
      </c>
      <c r="T17" s="233"/>
      <c r="U17" s="233"/>
      <c r="V17" s="385" t="str">
        <f>IF(J17="","",IF(C17="Acquisti",F17,(Z17*Prezzi!$E$31)+L17))</f>
        <v/>
      </c>
      <c r="W17" s="431"/>
      <c r="X17" s="386"/>
      <c r="Y17" s="488" t="str">
        <f t="shared" si="37"/>
        <v/>
      </c>
      <c r="Z17" s="452">
        <f t="shared" si="1"/>
        <v>0</v>
      </c>
      <c r="AB17" s="266">
        <f t="shared" si="18"/>
        <v>0</v>
      </c>
      <c r="AC17" s="120">
        <f t="shared" si="2"/>
        <v>0</v>
      </c>
      <c r="AD17" s="122">
        <v>1</v>
      </c>
      <c r="AE17" s="120">
        <f>IF(C17=0,0,SUMIF(C17:C$53,C17,AD17:AD$53))</f>
        <v>0</v>
      </c>
      <c r="AF17" s="120">
        <f t="shared" si="3"/>
        <v>0</v>
      </c>
      <c r="AG17" s="120">
        <f t="shared" si="19"/>
        <v>0</v>
      </c>
      <c r="AH17" s="120">
        <f t="shared" si="4"/>
        <v>0</v>
      </c>
      <c r="AI17" s="120">
        <f t="shared" si="5"/>
        <v>0</v>
      </c>
      <c r="AJ17" s="120">
        <f t="shared" si="38"/>
        <v>0</v>
      </c>
      <c r="AK17" s="526">
        <f t="shared" si="7"/>
        <v>0</v>
      </c>
      <c r="AL17" s="120">
        <f t="shared" si="8"/>
        <v>0</v>
      </c>
      <c r="AM17" s="120" t="str">
        <f t="shared" si="9"/>
        <v/>
      </c>
      <c r="AN17" s="120"/>
      <c r="AP17" s="120">
        <f>IF(F17=0,0,SUMIF(F17:F$53,F17,AD17:AD$53))</f>
        <v>0</v>
      </c>
      <c r="AQ17" s="120">
        <f t="shared" si="10"/>
        <v>0</v>
      </c>
      <c r="AR17" s="120">
        <f t="shared" si="20"/>
        <v>0</v>
      </c>
      <c r="AS17" s="120">
        <f t="shared" si="11"/>
        <v>0</v>
      </c>
      <c r="AT17" s="120">
        <f t="shared" si="12"/>
        <v>0</v>
      </c>
      <c r="AU17" s="120">
        <f t="shared" si="21"/>
        <v>0</v>
      </c>
      <c r="AV17" s="120">
        <f t="shared" si="13"/>
        <v>0</v>
      </c>
      <c r="AW17" s="120">
        <f t="shared" si="14"/>
        <v>0</v>
      </c>
      <c r="AX17" s="120" t="str">
        <f t="shared" si="15"/>
        <v/>
      </c>
      <c r="AY17" s="120"/>
      <c r="AZ17" s="120"/>
      <c r="BA17" s="116"/>
      <c r="BB17" s="699">
        <f t="shared" si="22"/>
        <v>0</v>
      </c>
      <c r="BC17" s="699">
        <f t="shared" si="39"/>
        <v>0</v>
      </c>
      <c r="BD17" s="116"/>
      <c r="BE17" s="527" t="str">
        <f t="shared" si="23"/>
        <v/>
      </c>
      <c r="BF17" s="268">
        <f t="shared" si="24"/>
        <v>0</v>
      </c>
      <c r="BG17" s="268" t="str">
        <f t="shared" si="25"/>
        <v/>
      </c>
      <c r="BH17" s="268"/>
      <c r="BI17" s="268">
        <f t="shared" si="26"/>
        <v>0</v>
      </c>
      <c r="BJ17" s="268">
        <f t="shared" si="27"/>
        <v>0</v>
      </c>
      <c r="BK17" s="268">
        <f t="shared" si="28"/>
        <v>0</v>
      </c>
      <c r="BL17" s="268" t="str">
        <f t="shared" si="29"/>
        <v/>
      </c>
      <c r="BM17" s="275">
        <f t="shared" si="30"/>
        <v>0</v>
      </c>
      <c r="BN17" s="275">
        <f t="shared" si="31"/>
        <v>0</v>
      </c>
      <c r="BO17" s="301">
        <f t="shared" si="32"/>
        <v>0</v>
      </c>
      <c r="BP17" s="266" t="str">
        <f>IF(J17="","",(J17*Prezzi!$E$31)+L17)</f>
        <v/>
      </c>
      <c r="BQ17" s="120">
        <f t="shared" si="33"/>
        <v>0</v>
      </c>
      <c r="BR17" s="564">
        <f t="shared" si="34"/>
        <v>0</v>
      </c>
      <c r="BS17" s="120">
        <f t="shared" si="35"/>
        <v>0</v>
      </c>
      <c r="CA17"/>
    </row>
    <row r="18" spans="1:79" ht="14" thickBot="1" x14ac:dyDescent="0.2">
      <c r="A18" s="307">
        <v>15</v>
      </c>
      <c r="B18" s="282"/>
      <c r="C18" s="645"/>
      <c r="D18" s="646"/>
      <c r="E18" s="647"/>
      <c r="F18" s="645"/>
      <c r="G18" s="646"/>
      <c r="H18" s="647"/>
      <c r="I18" s="282"/>
      <c r="J18" s="795"/>
      <c r="K18" s="796"/>
      <c r="L18" s="784"/>
      <c r="M18" s="785"/>
      <c r="N18" s="786"/>
      <c r="O18" s="282"/>
      <c r="P18" s="610"/>
      <c r="Q18" s="362">
        <f t="shared" si="36"/>
        <v>0</v>
      </c>
      <c r="R18" s="363"/>
      <c r="S18" s="232">
        <f t="shared" si="17"/>
        <v>0</v>
      </c>
      <c r="T18" s="233"/>
      <c r="U18" s="233"/>
      <c r="V18" s="385" t="str">
        <f>IF(J18="","",IF(C18="Acquisti",F18,(Z18*Prezzi!$E$31)+L18))</f>
        <v/>
      </c>
      <c r="W18" s="431"/>
      <c r="X18" s="386"/>
      <c r="Y18" s="488" t="str">
        <f t="shared" si="37"/>
        <v/>
      </c>
      <c r="Z18" s="452">
        <f t="shared" si="1"/>
        <v>0</v>
      </c>
      <c r="AB18" s="266">
        <f t="shared" si="18"/>
        <v>0</v>
      </c>
      <c r="AC18" s="120">
        <f t="shared" si="2"/>
        <v>0</v>
      </c>
      <c r="AD18" s="122">
        <v>1</v>
      </c>
      <c r="AE18" s="120">
        <f>IF(C18=0,0,SUMIF(C18:C$53,C18,AD18:AD$53))</f>
        <v>0</v>
      </c>
      <c r="AF18" s="120">
        <f t="shared" si="3"/>
        <v>0</v>
      </c>
      <c r="AG18" s="120">
        <f t="shared" si="19"/>
        <v>0</v>
      </c>
      <c r="AH18" s="120">
        <f t="shared" si="4"/>
        <v>0</v>
      </c>
      <c r="AI18" s="120">
        <f t="shared" si="5"/>
        <v>0</v>
      </c>
      <c r="AJ18" s="120">
        <f t="shared" si="38"/>
        <v>0</v>
      </c>
      <c r="AK18" s="526">
        <f t="shared" si="7"/>
        <v>0</v>
      </c>
      <c r="AL18" s="120">
        <f t="shared" si="8"/>
        <v>0</v>
      </c>
      <c r="AM18" s="120" t="str">
        <f t="shared" si="9"/>
        <v/>
      </c>
      <c r="AN18" s="120"/>
      <c r="AP18" s="120">
        <f>IF(F18=0,0,SUMIF(F18:F$53,F18,AD18:AD$53))</f>
        <v>0</v>
      </c>
      <c r="AQ18" s="120">
        <f t="shared" si="10"/>
        <v>0</v>
      </c>
      <c r="AR18" s="120">
        <f t="shared" si="20"/>
        <v>0</v>
      </c>
      <c r="AS18" s="120">
        <f t="shared" si="11"/>
        <v>0</v>
      </c>
      <c r="AT18" s="120">
        <f t="shared" si="12"/>
        <v>0</v>
      </c>
      <c r="AU18" s="120">
        <f t="shared" si="21"/>
        <v>0</v>
      </c>
      <c r="AV18" s="120">
        <f t="shared" si="13"/>
        <v>0</v>
      </c>
      <c r="AW18" s="120">
        <f t="shared" si="14"/>
        <v>0</v>
      </c>
      <c r="AX18" s="120" t="str">
        <f t="shared" si="15"/>
        <v/>
      </c>
      <c r="AY18" s="120"/>
      <c r="AZ18" s="120"/>
      <c r="BA18" s="116"/>
      <c r="BB18" s="699">
        <f t="shared" si="22"/>
        <v>0</v>
      </c>
      <c r="BC18" s="699">
        <f t="shared" si="39"/>
        <v>0</v>
      </c>
      <c r="BD18" s="116"/>
      <c r="BE18" s="528" t="str">
        <f t="shared" si="23"/>
        <v/>
      </c>
      <c r="BF18" s="303">
        <f t="shared" si="24"/>
        <v>0</v>
      </c>
      <c r="BG18" s="303" t="str">
        <f t="shared" si="25"/>
        <v/>
      </c>
      <c r="BH18" s="303"/>
      <c r="BI18" s="303">
        <f t="shared" si="26"/>
        <v>0</v>
      </c>
      <c r="BJ18" s="303">
        <f t="shared" si="27"/>
        <v>0</v>
      </c>
      <c r="BK18" s="303">
        <f t="shared" si="28"/>
        <v>0</v>
      </c>
      <c r="BL18" s="303" t="str">
        <f t="shared" si="29"/>
        <v/>
      </c>
      <c r="BM18" s="304">
        <f t="shared" si="30"/>
        <v>0</v>
      </c>
      <c r="BN18" s="304">
        <f t="shared" si="31"/>
        <v>0</v>
      </c>
      <c r="BO18" s="305">
        <f t="shared" si="32"/>
        <v>0</v>
      </c>
      <c r="BP18" s="266" t="str">
        <f>IF(J18="","",(J18*Prezzi!$E$31)+L18)</f>
        <v/>
      </c>
      <c r="BQ18" s="120">
        <f t="shared" si="33"/>
        <v>0</v>
      </c>
      <c r="BR18" s="564">
        <f t="shared" si="34"/>
        <v>0</v>
      </c>
      <c r="BS18" s="120">
        <f t="shared" si="35"/>
        <v>0</v>
      </c>
      <c r="CA18"/>
    </row>
    <row r="19" spans="1:79" x14ac:dyDescent="0.15">
      <c r="A19" s="307">
        <v>16</v>
      </c>
      <c r="B19" s="282"/>
      <c r="C19" s="645"/>
      <c r="D19" s="646"/>
      <c r="E19" s="647"/>
      <c r="F19" s="645"/>
      <c r="G19" s="646"/>
      <c r="H19" s="647"/>
      <c r="I19" s="282"/>
      <c r="J19" s="795"/>
      <c r="K19" s="796"/>
      <c r="L19" s="784"/>
      <c r="M19" s="785"/>
      <c r="N19" s="786"/>
      <c r="O19" s="282"/>
      <c r="P19" s="610"/>
      <c r="Q19" s="362">
        <f t="shared" si="36"/>
        <v>0</v>
      </c>
      <c r="R19" s="363"/>
      <c r="S19" s="232">
        <f t="shared" si="17"/>
        <v>0</v>
      </c>
      <c r="T19" s="233"/>
      <c r="U19" s="233"/>
      <c r="V19" s="385" t="str">
        <f>IF(J19="","",IF(C19="Acquisti",F19,(Z19*Prezzi!$E$31)+L19))</f>
        <v/>
      </c>
      <c r="W19" s="431"/>
      <c r="X19" s="386"/>
      <c r="Y19" s="488" t="str">
        <f t="shared" si="37"/>
        <v/>
      </c>
      <c r="Z19" s="452">
        <f t="shared" si="1"/>
        <v>0</v>
      </c>
      <c r="AB19" s="266">
        <f t="shared" si="18"/>
        <v>0</v>
      </c>
      <c r="AC19" s="120">
        <f t="shared" si="2"/>
        <v>0</v>
      </c>
      <c r="AD19" s="122">
        <v>1</v>
      </c>
      <c r="AE19" s="120">
        <f>IF(C19=0,0,SUMIF(C19:C$53,C19,AD19:AD$53))</f>
        <v>0</v>
      </c>
      <c r="AF19" s="120">
        <f t="shared" si="3"/>
        <v>0</v>
      </c>
      <c r="AG19" s="120">
        <f t="shared" si="19"/>
        <v>0</v>
      </c>
      <c r="AH19" s="120">
        <f t="shared" si="4"/>
        <v>0</v>
      </c>
      <c r="AI19" s="120">
        <f t="shared" si="5"/>
        <v>0</v>
      </c>
      <c r="AJ19" s="120">
        <f t="shared" si="38"/>
        <v>0</v>
      </c>
      <c r="AK19" s="526">
        <f t="shared" si="7"/>
        <v>0</v>
      </c>
      <c r="AL19" s="120">
        <f t="shared" si="8"/>
        <v>0</v>
      </c>
      <c r="AM19" s="120" t="str">
        <f t="shared" si="9"/>
        <v/>
      </c>
      <c r="AN19" s="120"/>
      <c r="AP19" s="120">
        <f>IF(F19=0,0,SUMIF(F19:F$53,F19,AD19:AD$53))</f>
        <v>0</v>
      </c>
      <c r="AQ19" s="120">
        <f t="shared" si="10"/>
        <v>0</v>
      </c>
      <c r="AR19" s="120">
        <f t="shared" si="20"/>
        <v>0</v>
      </c>
      <c r="AS19" s="120">
        <f t="shared" si="11"/>
        <v>0</v>
      </c>
      <c r="AT19" s="120">
        <f t="shared" si="12"/>
        <v>0</v>
      </c>
      <c r="AU19" s="120">
        <f t="shared" si="21"/>
        <v>0</v>
      </c>
      <c r="AV19" s="120">
        <f t="shared" si="13"/>
        <v>0</v>
      </c>
      <c r="AW19" s="120">
        <f t="shared" si="14"/>
        <v>0</v>
      </c>
      <c r="AX19" s="120" t="str">
        <f t="shared" si="15"/>
        <v/>
      </c>
      <c r="AY19" s="120"/>
      <c r="AZ19" s="120"/>
      <c r="BA19" s="116"/>
      <c r="BB19" s="699">
        <f t="shared" si="22"/>
        <v>0</v>
      </c>
      <c r="BC19" s="699">
        <f t="shared" si="39"/>
        <v>0</v>
      </c>
      <c r="BD19" s="116"/>
      <c r="BE19" s="530" t="str">
        <f t="shared" si="23"/>
        <v/>
      </c>
      <c r="BF19" s="120">
        <f t="shared" si="24"/>
        <v>0</v>
      </c>
      <c r="BG19" s="120" t="str">
        <f t="shared" si="25"/>
        <v/>
      </c>
      <c r="BH19" s="120"/>
      <c r="BI19" s="120">
        <f t="shared" si="26"/>
        <v>0</v>
      </c>
      <c r="BJ19" s="268">
        <f t="shared" si="27"/>
        <v>0</v>
      </c>
      <c r="BK19" s="120">
        <f t="shared" si="28"/>
        <v>0</v>
      </c>
      <c r="BL19" s="120" t="str">
        <f t="shared" si="29"/>
        <v/>
      </c>
      <c r="BM19" s="266">
        <f t="shared" si="30"/>
        <v>0</v>
      </c>
      <c r="BN19" s="266">
        <f t="shared" si="31"/>
        <v>0</v>
      </c>
      <c r="BO19" s="266">
        <f t="shared" si="32"/>
        <v>0</v>
      </c>
      <c r="BP19" s="266" t="str">
        <f>IF(J19="","",(J19*Prezzi!$E$31)+L19)</f>
        <v/>
      </c>
      <c r="BQ19" s="120">
        <f t="shared" si="33"/>
        <v>0</v>
      </c>
      <c r="BR19" s="564">
        <f t="shared" si="34"/>
        <v>0</v>
      </c>
      <c r="BS19" s="120">
        <f t="shared" si="35"/>
        <v>0</v>
      </c>
      <c r="CA19"/>
    </row>
    <row r="20" spans="1:79" x14ac:dyDescent="0.15">
      <c r="A20" s="307">
        <v>17</v>
      </c>
      <c r="B20" s="282"/>
      <c r="C20" s="645"/>
      <c r="D20" s="646"/>
      <c r="E20" s="647"/>
      <c r="F20" s="645"/>
      <c r="G20" s="646"/>
      <c r="H20" s="647"/>
      <c r="I20" s="282"/>
      <c r="J20" s="795"/>
      <c r="K20" s="796"/>
      <c r="L20" s="784"/>
      <c r="M20" s="785"/>
      <c r="N20" s="786"/>
      <c r="O20" s="282"/>
      <c r="P20" s="610"/>
      <c r="Q20" s="362">
        <f t="shared" si="36"/>
        <v>0</v>
      </c>
      <c r="R20" s="363"/>
      <c r="S20" s="232">
        <f t="shared" si="17"/>
        <v>0</v>
      </c>
      <c r="T20" s="233"/>
      <c r="U20" s="233"/>
      <c r="V20" s="385" t="str">
        <f>IF(J20="","",IF(C20="Acquisti",F20,(Z20*Prezzi!$E$31)+L20))</f>
        <v/>
      </c>
      <c r="W20" s="431"/>
      <c r="X20" s="386"/>
      <c r="Y20" s="488" t="str">
        <f t="shared" si="37"/>
        <v/>
      </c>
      <c r="Z20" s="452">
        <f t="shared" si="1"/>
        <v>0</v>
      </c>
      <c r="AB20" s="266">
        <f t="shared" si="18"/>
        <v>0</v>
      </c>
      <c r="AC20" s="120">
        <f t="shared" si="2"/>
        <v>0</v>
      </c>
      <c r="AD20" s="122">
        <v>1</v>
      </c>
      <c r="AE20" s="120">
        <f>IF(C20=0,0,SUMIF(C20:C$53,C20,AD20:AD$53))</f>
        <v>0</v>
      </c>
      <c r="AF20" s="120">
        <f t="shared" si="3"/>
        <v>0</v>
      </c>
      <c r="AG20" s="120">
        <f t="shared" si="19"/>
        <v>0</v>
      </c>
      <c r="AH20" s="120">
        <f t="shared" si="4"/>
        <v>0</v>
      </c>
      <c r="AI20" s="120">
        <f t="shared" si="5"/>
        <v>0</v>
      </c>
      <c r="AJ20" s="120">
        <f t="shared" si="38"/>
        <v>0</v>
      </c>
      <c r="AK20" s="526">
        <f t="shared" si="7"/>
        <v>0</v>
      </c>
      <c r="AL20" s="120">
        <f t="shared" si="8"/>
        <v>0</v>
      </c>
      <c r="AM20" s="120" t="str">
        <f t="shared" si="9"/>
        <v/>
      </c>
      <c r="AN20" s="120"/>
      <c r="AP20" s="120">
        <f>IF(F20=0,0,SUMIF(F20:F$53,F20,AD20:AD$53))</f>
        <v>0</v>
      </c>
      <c r="AQ20" s="120">
        <f t="shared" si="10"/>
        <v>0</v>
      </c>
      <c r="AR20" s="120">
        <f t="shared" si="20"/>
        <v>0</v>
      </c>
      <c r="AS20" s="120">
        <f t="shared" si="11"/>
        <v>0</v>
      </c>
      <c r="AT20" s="120">
        <f t="shared" si="12"/>
        <v>0</v>
      </c>
      <c r="AU20" s="120">
        <f t="shared" si="21"/>
        <v>0</v>
      </c>
      <c r="AV20" s="120">
        <f t="shared" si="13"/>
        <v>0</v>
      </c>
      <c r="AW20" s="120">
        <f t="shared" si="14"/>
        <v>0</v>
      </c>
      <c r="AX20" s="120" t="str">
        <f t="shared" si="15"/>
        <v/>
      </c>
      <c r="AY20" s="120"/>
      <c r="AZ20" s="120"/>
      <c r="BA20" s="116"/>
      <c r="BB20" s="699">
        <f t="shared" si="22"/>
        <v>0</v>
      </c>
      <c r="BC20" s="699">
        <f t="shared" si="39"/>
        <v>0</v>
      </c>
      <c r="BD20" s="116"/>
      <c r="BE20" s="530" t="str">
        <f t="shared" si="23"/>
        <v/>
      </c>
      <c r="BF20" s="120">
        <f t="shared" si="24"/>
        <v>0</v>
      </c>
      <c r="BG20" s="120" t="str">
        <f t="shared" si="25"/>
        <v/>
      </c>
      <c r="BH20" s="120"/>
      <c r="BI20" s="120">
        <f t="shared" si="26"/>
        <v>0</v>
      </c>
      <c r="BJ20" s="268">
        <f t="shared" si="27"/>
        <v>0</v>
      </c>
      <c r="BK20" s="120">
        <f t="shared" si="28"/>
        <v>0</v>
      </c>
      <c r="BL20" s="120" t="str">
        <f t="shared" si="29"/>
        <v/>
      </c>
      <c r="BM20" s="266">
        <f t="shared" si="30"/>
        <v>0</v>
      </c>
      <c r="BN20" s="266">
        <f t="shared" si="31"/>
        <v>0</v>
      </c>
      <c r="BO20" s="266">
        <f t="shared" si="32"/>
        <v>0</v>
      </c>
      <c r="BP20" s="266" t="str">
        <f>IF(J20="","",(J20*Prezzi!$E$31)+L20)</f>
        <v/>
      </c>
      <c r="BQ20" s="120">
        <f t="shared" si="33"/>
        <v>0</v>
      </c>
      <c r="BR20" s="564">
        <f t="shared" si="34"/>
        <v>0</v>
      </c>
      <c r="BS20" s="120">
        <f t="shared" si="35"/>
        <v>0</v>
      </c>
      <c r="CA20"/>
    </row>
    <row r="21" spans="1:79" x14ac:dyDescent="0.15">
      <c r="A21" s="307">
        <v>18</v>
      </c>
      <c r="B21" s="282"/>
      <c r="C21" s="645"/>
      <c r="D21" s="646"/>
      <c r="E21" s="647"/>
      <c r="F21" s="645"/>
      <c r="G21" s="646"/>
      <c r="H21" s="647"/>
      <c r="I21" s="282"/>
      <c r="J21" s="795"/>
      <c r="K21" s="796"/>
      <c r="L21" s="784"/>
      <c r="M21" s="785"/>
      <c r="N21" s="786"/>
      <c r="O21" s="282"/>
      <c r="P21" s="610"/>
      <c r="Q21" s="362">
        <f t="shared" si="36"/>
        <v>0</v>
      </c>
      <c r="R21" s="363"/>
      <c r="S21" s="232">
        <f t="shared" si="17"/>
        <v>0</v>
      </c>
      <c r="T21" s="233"/>
      <c r="U21" s="233"/>
      <c r="V21" s="385" t="str">
        <f>IF(J21="","",IF(C21="Acquisti",F21,(Z21*Prezzi!$E$31)+L21))</f>
        <v/>
      </c>
      <c r="W21" s="431"/>
      <c r="X21" s="386"/>
      <c r="Y21" s="488" t="str">
        <f t="shared" si="37"/>
        <v/>
      </c>
      <c r="Z21" s="452">
        <f t="shared" si="1"/>
        <v>0</v>
      </c>
      <c r="AB21" s="266">
        <f t="shared" si="18"/>
        <v>0</v>
      </c>
      <c r="AC21" s="120">
        <f t="shared" si="2"/>
        <v>0</v>
      </c>
      <c r="AD21" s="122">
        <v>1</v>
      </c>
      <c r="AE21" s="120">
        <f>IF(C21=0,0,SUMIF(C21:C$53,C21,AD21:AD$53))</f>
        <v>0</v>
      </c>
      <c r="AF21" s="120">
        <f t="shared" si="3"/>
        <v>0</v>
      </c>
      <c r="AG21" s="120">
        <f t="shared" si="19"/>
        <v>0</v>
      </c>
      <c r="AH21" s="120">
        <f t="shared" si="4"/>
        <v>0</v>
      </c>
      <c r="AI21" s="120">
        <f t="shared" si="5"/>
        <v>0</v>
      </c>
      <c r="AJ21" s="120">
        <f t="shared" si="38"/>
        <v>0</v>
      </c>
      <c r="AK21" s="526">
        <f t="shared" si="7"/>
        <v>0</v>
      </c>
      <c r="AL21" s="120">
        <f t="shared" si="8"/>
        <v>0</v>
      </c>
      <c r="AM21" s="120" t="str">
        <f t="shared" si="9"/>
        <v/>
      </c>
      <c r="AN21" s="120"/>
      <c r="AP21" s="120">
        <f>IF(F21=0,0,SUMIF(F21:F$53,F21,AD21:AD$53))</f>
        <v>0</v>
      </c>
      <c r="AQ21" s="120">
        <f t="shared" si="10"/>
        <v>0</v>
      </c>
      <c r="AR21" s="120">
        <f t="shared" si="20"/>
        <v>0</v>
      </c>
      <c r="AS21" s="120">
        <f t="shared" si="11"/>
        <v>0</v>
      </c>
      <c r="AT21" s="120">
        <f t="shared" si="12"/>
        <v>0</v>
      </c>
      <c r="AU21" s="120">
        <f t="shared" si="21"/>
        <v>0</v>
      </c>
      <c r="AV21" s="120">
        <f t="shared" si="13"/>
        <v>0</v>
      </c>
      <c r="AW21" s="120">
        <f t="shared" si="14"/>
        <v>0</v>
      </c>
      <c r="AX21" s="120" t="str">
        <f t="shared" si="15"/>
        <v/>
      </c>
      <c r="AY21" s="120"/>
      <c r="AZ21" s="120"/>
      <c r="BA21" s="116"/>
      <c r="BB21" s="699">
        <f t="shared" si="22"/>
        <v>0</v>
      </c>
      <c r="BC21" s="699">
        <f t="shared" si="39"/>
        <v>0</v>
      </c>
      <c r="BD21" s="116"/>
      <c r="BE21" s="530" t="str">
        <f t="shared" si="23"/>
        <v/>
      </c>
      <c r="BF21" s="120">
        <f t="shared" si="24"/>
        <v>0</v>
      </c>
      <c r="BG21" s="120" t="str">
        <f t="shared" si="25"/>
        <v/>
      </c>
      <c r="BH21" s="120"/>
      <c r="BI21" s="120">
        <f t="shared" si="26"/>
        <v>0</v>
      </c>
      <c r="BJ21" s="268">
        <f t="shared" si="27"/>
        <v>0</v>
      </c>
      <c r="BK21" s="120">
        <f t="shared" si="28"/>
        <v>0</v>
      </c>
      <c r="BL21" s="120" t="str">
        <f t="shared" si="29"/>
        <v/>
      </c>
      <c r="BM21" s="266">
        <f t="shared" si="30"/>
        <v>0</v>
      </c>
      <c r="BN21" s="266">
        <f t="shared" si="31"/>
        <v>0</v>
      </c>
      <c r="BO21" s="266">
        <f t="shared" si="32"/>
        <v>0</v>
      </c>
      <c r="BP21" s="266" t="str">
        <f>IF(J21="","",(J21*Prezzi!$E$31)+L21)</f>
        <v/>
      </c>
      <c r="BQ21" s="120">
        <f t="shared" si="33"/>
        <v>0</v>
      </c>
      <c r="BR21" s="564">
        <f t="shared" si="34"/>
        <v>0</v>
      </c>
      <c r="BS21" s="120">
        <f t="shared" si="35"/>
        <v>0</v>
      </c>
      <c r="CA21"/>
    </row>
    <row r="22" spans="1:79" x14ac:dyDescent="0.15">
      <c r="A22" s="307">
        <v>19</v>
      </c>
      <c r="B22" s="282"/>
      <c r="C22" s="645"/>
      <c r="D22" s="646"/>
      <c r="E22" s="647"/>
      <c r="F22" s="645"/>
      <c r="G22" s="646"/>
      <c r="H22" s="647"/>
      <c r="I22" s="282"/>
      <c r="J22" s="795"/>
      <c r="K22" s="796"/>
      <c r="L22" s="784"/>
      <c r="M22" s="785"/>
      <c r="N22" s="786"/>
      <c r="O22" s="282"/>
      <c r="P22" s="610"/>
      <c r="Q22" s="362">
        <f t="shared" si="36"/>
        <v>0</v>
      </c>
      <c r="R22" s="363"/>
      <c r="S22" s="232">
        <f t="shared" si="17"/>
        <v>0</v>
      </c>
      <c r="T22" s="233"/>
      <c r="U22" s="233"/>
      <c r="V22" s="385" t="str">
        <f>IF(J22="","",IF(C22="Acquisti",F22,(Z22*Prezzi!$E$31)+L22))</f>
        <v/>
      </c>
      <c r="W22" s="431"/>
      <c r="X22" s="386"/>
      <c r="Y22" s="488" t="str">
        <f t="shared" si="37"/>
        <v/>
      </c>
      <c r="Z22" s="452">
        <f t="shared" si="1"/>
        <v>0</v>
      </c>
      <c r="AB22" s="266">
        <f t="shared" si="18"/>
        <v>0</v>
      </c>
      <c r="AC22" s="120">
        <f t="shared" si="2"/>
        <v>0</v>
      </c>
      <c r="AD22" s="122">
        <v>1</v>
      </c>
      <c r="AE22" s="120">
        <f>IF(C22=0,0,SUMIF(C22:C$53,C22,AD22:AD$53))</f>
        <v>0</v>
      </c>
      <c r="AF22" s="120">
        <f t="shared" si="3"/>
        <v>0</v>
      </c>
      <c r="AG22" s="120">
        <f t="shared" si="19"/>
        <v>0</v>
      </c>
      <c r="AH22" s="120">
        <f t="shared" si="4"/>
        <v>0</v>
      </c>
      <c r="AI22" s="120">
        <f t="shared" si="5"/>
        <v>0</v>
      </c>
      <c r="AJ22" s="120">
        <f t="shared" si="38"/>
        <v>0</v>
      </c>
      <c r="AK22" s="526">
        <f t="shared" si="7"/>
        <v>0</v>
      </c>
      <c r="AL22" s="120">
        <f t="shared" si="8"/>
        <v>0</v>
      </c>
      <c r="AM22" s="120" t="str">
        <f t="shared" si="9"/>
        <v/>
      </c>
      <c r="AN22" s="120"/>
      <c r="AP22" s="120">
        <f>IF(F22=0,0,SUMIF(F22:F$53,F22,AD22:AD$53))</f>
        <v>0</v>
      </c>
      <c r="AQ22" s="120">
        <f t="shared" si="10"/>
        <v>0</v>
      </c>
      <c r="AR22" s="120">
        <f t="shared" si="20"/>
        <v>0</v>
      </c>
      <c r="AS22" s="120">
        <f t="shared" si="11"/>
        <v>0</v>
      </c>
      <c r="AT22" s="120">
        <f t="shared" si="12"/>
        <v>0</v>
      </c>
      <c r="AU22" s="120">
        <f t="shared" si="21"/>
        <v>0</v>
      </c>
      <c r="AV22" s="120">
        <f t="shared" si="13"/>
        <v>0</v>
      </c>
      <c r="AW22" s="120">
        <f t="shared" si="14"/>
        <v>0</v>
      </c>
      <c r="AX22" s="120" t="str">
        <f t="shared" si="15"/>
        <v/>
      </c>
      <c r="AY22" s="120"/>
      <c r="AZ22" s="120"/>
      <c r="BA22" s="116"/>
      <c r="BB22" s="699">
        <f t="shared" si="22"/>
        <v>0</v>
      </c>
      <c r="BC22" s="699">
        <f t="shared" si="39"/>
        <v>0</v>
      </c>
      <c r="BD22" s="116"/>
      <c r="BE22" s="530" t="str">
        <f t="shared" si="23"/>
        <v/>
      </c>
      <c r="BF22" s="120">
        <f t="shared" si="24"/>
        <v>0</v>
      </c>
      <c r="BG22" s="120" t="str">
        <f t="shared" si="25"/>
        <v/>
      </c>
      <c r="BH22" s="120"/>
      <c r="BI22" s="120">
        <f t="shared" si="26"/>
        <v>0</v>
      </c>
      <c r="BJ22" s="268">
        <f t="shared" si="27"/>
        <v>0</v>
      </c>
      <c r="BK22" s="120">
        <f t="shared" si="28"/>
        <v>0</v>
      </c>
      <c r="BL22" s="120" t="str">
        <f t="shared" si="29"/>
        <v/>
      </c>
      <c r="BM22" s="266">
        <f t="shared" si="30"/>
        <v>0</v>
      </c>
      <c r="BN22" s="266">
        <f t="shared" si="31"/>
        <v>0</v>
      </c>
      <c r="BO22" s="266">
        <f t="shared" si="32"/>
        <v>0</v>
      </c>
      <c r="BP22" s="266" t="str">
        <f>IF(J22="","",(J22*Prezzi!$E$31)+L22)</f>
        <v/>
      </c>
      <c r="BQ22" s="120">
        <f t="shared" si="33"/>
        <v>0</v>
      </c>
      <c r="BR22" s="564">
        <f t="shared" si="34"/>
        <v>0</v>
      </c>
      <c r="BS22" s="120">
        <f t="shared" si="35"/>
        <v>0</v>
      </c>
      <c r="CA22"/>
    </row>
    <row r="23" spans="1:79" x14ac:dyDescent="0.15">
      <c r="A23" s="307">
        <v>20</v>
      </c>
      <c r="B23" s="282"/>
      <c r="C23" s="645"/>
      <c r="D23" s="646"/>
      <c r="E23" s="647"/>
      <c r="F23" s="645"/>
      <c r="G23" s="646"/>
      <c r="H23" s="647"/>
      <c r="I23" s="282"/>
      <c r="J23" s="795"/>
      <c r="K23" s="796"/>
      <c r="L23" s="784"/>
      <c r="M23" s="785"/>
      <c r="N23" s="786"/>
      <c r="O23" s="282"/>
      <c r="P23" s="610"/>
      <c r="Q23" s="362">
        <f t="shared" si="36"/>
        <v>0</v>
      </c>
      <c r="R23" s="363"/>
      <c r="S23" s="232">
        <f t="shared" si="17"/>
        <v>0</v>
      </c>
      <c r="T23" s="233"/>
      <c r="U23" s="233"/>
      <c r="V23" s="385" t="str">
        <f>IF(J23="","",IF(C23="Acquisti",F23,(Z23*Prezzi!$E$31)+L23))</f>
        <v/>
      </c>
      <c r="W23" s="431"/>
      <c r="X23" s="386"/>
      <c r="Y23" s="488" t="str">
        <f t="shared" si="37"/>
        <v/>
      </c>
      <c r="Z23" s="452">
        <f t="shared" si="1"/>
        <v>0</v>
      </c>
      <c r="AB23" s="266">
        <f t="shared" si="18"/>
        <v>0</v>
      </c>
      <c r="AC23" s="120">
        <f t="shared" si="2"/>
        <v>0</v>
      </c>
      <c r="AD23" s="122">
        <v>1</v>
      </c>
      <c r="AE23" s="120">
        <f>IF(C23=0,0,SUMIF(C23:C$53,C23,AD23:AD$53))</f>
        <v>0</v>
      </c>
      <c r="AF23" s="120">
        <f t="shared" si="3"/>
        <v>0</v>
      </c>
      <c r="AG23" s="120">
        <f t="shared" si="19"/>
        <v>0</v>
      </c>
      <c r="AH23" s="120">
        <f t="shared" si="4"/>
        <v>0</v>
      </c>
      <c r="AI23" s="120">
        <f t="shared" si="5"/>
        <v>0</v>
      </c>
      <c r="AJ23" s="120">
        <f t="shared" si="38"/>
        <v>0</v>
      </c>
      <c r="AK23" s="526">
        <f t="shared" si="7"/>
        <v>0</v>
      </c>
      <c r="AL23" s="120">
        <f t="shared" si="8"/>
        <v>0</v>
      </c>
      <c r="AM23" s="120" t="str">
        <f t="shared" si="9"/>
        <v/>
      </c>
      <c r="AN23" s="120"/>
      <c r="AP23" s="120">
        <f>IF(F23=0,0,SUMIF(F23:F$53,F23,AD23:AD$53))</f>
        <v>0</v>
      </c>
      <c r="AQ23" s="120">
        <f t="shared" si="10"/>
        <v>0</v>
      </c>
      <c r="AR23" s="120">
        <f t="shared" si="20"/>
        <v>0</v>
      </c>
      <c r="AS23" s="120">
        <f t="shared" si="11"/>
        <v>0</v>
      </c>
      <c r="AT23" s="120">
        <f t="shared" si="12"/>
        <v>0</v>
      </c>
      <c r="AU23" s="120">
        <f t="shared" si="21"/>
        <v>0</v>
      </c>
      <c r="AV23" s="120">
        <f t="shared" si="13"/>
        <v>0</v>
      </c>
      <c r="AW23" s="120">
        <f t="shared" si="14"/>
        <v>0</v>
      </c>
      <c r="AX23" s="120" t="str">
        <f t="shared" si="15"/>
        <v/>
      </c>
      <c r="AY23" s="120"/>
      <c r="AZ23" s="120"/>
      <c r="BA23" s="116"/>
      <c r="BB23" s="699">
        <f t="shared" si="22"/>
        <v>0</v>
      </c>
      <c r="BC23" s="699">
        <f t="shared" si="39"/>
        <v>0</v>
      </c>
      <c r="BD23" s="116"/>
      <c r="BE23" s="530" t="str">
        <f t="shared" si="23"/>
        <v/>
      </c>
      <c r="BF23" s="120">
        <f t="shared" si="24"/>
        <v>0</v>
      </c>
      <c r="BG23" s="120" t="str">
        <f t="shared" si="25"/>
        <v/>
      </c>
      <c r="BH23" s="120"/>
      <c r="BI23" s="120">
        <f t="shared" si="26"/>
        <v>0</v>
      </c>
      <c r="BJ23" s="268">
        <f t="shared" si="27"/>
        <v>0</v>
      </c>
      <c r="BK23" s="120">
        <f t="shared" si="28"/>
        <v>0</v>
      </c>
      <c r="BL23" s="120" t="str">
        <f t="shared" si="29"/>
        <v/>
      </c>
      <c r="BM23" s="266">
        <f t="shared" si="30"/>
        <v>0</v>
      </c>
      <c r="BN23" s="266">
        <f t="shared" si="31"/>
        <v>0</v>
      </c>
      <c r="BO23" s="266">
        <f t="shared" si="32"/>
        <v>0</v>
      </c>
      <c r="BP23" s="266" t="str">
        <f>IF(J23="","",(J23*Prezzi!$E$31)+L23)</f>
        <v/>
      </c>
      <c r="BQ23" s="120">
        <f t="shared" si="33"/>
        <v>0</v>
      </c>
      <c r="BR23" s="564">
        <f t="shared" si="34"/>
        <v>0</v>
      </c>
      <c r="BS23" s="120">
        <f t="shared" si="35"/>
        <v>0</v>
      </c>
      <c r="CA23"/>
    </row>
    <row r="24" spans="1:79" x14ac:dyDescent="0.15">
      <c r="A24" s="307">
        <v>21</v>
      </c>
      <c r="B24" s="282"/>
      <c r="C24" s="645"/>
      <c r="D24" s="646"/>
      <c r="E24" s="647"/>
      <c r="F24" s="645"/>
      <c r="G24" s="646"/>
      <c r="H24" s="647"/>
      <c r="I24" s="282"/>
      <c r="J24" s="795"/>
      <c r="K24" s="796"/>
      <c r="L24" s="784"/>
      <c r="M24" s="785"/>
      <c r="N24" s="786"/>
      <c r="O24" s="282"/>
      <c r="P24" s="610"/>
      <c r="Q24" s="362">
        <f t="shared" si="36"/>
        <v>0</v>
      </c>
      <c r="R24" s="363"/>
      <c r="S24" s="232">
        <f t="shared" si="17"/>
        <v>0</v>
      </c>
      <c r="T24" s="233"/>
      <c r="U24" s="233"/>
      <c r="V24" s="385" t="str">
        <f>IF(J24="","",IF(C24="Acquisti",F24,(Z24*Prezzi!$E$31)+L24))</f>
        <v/>
      </c>
      <c r="W24" s="431"/>
      <c r="X24" s="386"/>
      <c r="Y24" s="488" t="str">
        <f t="shared" si="37"/>
        <v/>
      </c>
      <c r="Z24" s="452">
        <f t="shared" si="1"/>
        <v>0</v>
      </c>
      <c r="AB24" s="266">
        <f t="shared" si="18"/>
        <v>0</v>
      </c>
      <c r="AC24" s="120">
        <f t="shared" si="2"/>
        <v>0</v>
      </c>
      <c r="AD24" s="122">
        <v>1</v>
      </c>
      <c r="AE24" s="120">
        <f>IF(C24=0,0,SUMIF(C24:C$53,C24,AD24:AD$53))</f>
        <v>0</v>
      </c>
      <c r="AF24" s="120">
        <f t="shared" si="3"/>
        <v>0</v>
      </c>
      <c r="AG24" s="120">
        <f t="shared" si="19"/>
        <v>0</v>
      </c>
      <c r="AH24" s="120">
        <f t="shared" si="4"/>
        <v>0</v>
      </c>
      <c r="AI24" s="120">
        <f t="shared" si="5"/>
        <v>0</v>
      </c>
      <c r="AJ24" s="120">
        <f t="shared" si="38"/>
        <v>0</v>
      </c>
      <c r="AK24" s="526">
        <f t="shared" si="7"/>
        <v>0</v>
      </c>
      <c r="AL24" s="120">
        <f t="shared" si="8"/>
        <v>0</v>
      </c>
      <c r="AM24" s="120" t="str">
        <f t="shared" si="9"/>
        <v/>
      </c>
      <c r="AN24" s="120"/>
      <c r="AP24" s="120">
        <f>IF(F24=0,0,SUMIF(F24:F$53,F24,AD24:AD$53))</f>
        <v>0</v>
      </c>
      <c r="AQ24" s="120">
        <f t="shared" si="10"/>
        <v>0</v>
      </c>
      <c r="AR24" s="120">
        <f t="shared" si="20"/>
        <v>0</v>
      </c>
      <c r="AS24" s="120">
        <f t="shared" si="11"/>
        <v>0</v>
      </c>
      <c r="AT24" s="120">
        <f t="shared" si="12"/>
        <v>0</v>
      </c>
      <c r="AU24" s="120">
        <f t="shared" si="21"/>
        <v>0</v>
      </c>
      <c r="AV24" s="120">
        <f t="shared" si="13"/>
        <v>0</v>
      </c>
      <c r="AW24" s="120">
        <f t="shared" si="14"/>
        <v>0</v>
      </c>
      <c r="AX24" s="120" t="str">
        <f t="shared" si="15"/>
        <v/>
      </c>
      <c r="AY24" s="120"/>
      <c r="AZ24" s="120"/>
      <c r="BA24" s="116"/>
      <c r="BB24" s="699">
        <f t="shared" si="22"/>
        <v>0</v>
      </c>
      <c r="BC24" s="699">
        <f t="shared" si="39"/>
        <v>0</v>
      </c>
      <c r="BD24" s="116"/>
      <c r="BE24" s="530" t="str">
        <f t="shared" si="23"/>
        <v/>
      </c>
      <c r="BF24" s="120">
        <f t="shared" si="24"/>
        <v>0</v>
      </c>
      <c r="BG24" s="120" t="str">
        <f t="shared" si="25"/>
        <v/>
      </c>
      <c r="BH24" s="120"/>
      <c r="BI24" s="120">
        <f t="shared" si="26"/>
        <v>0</v>
      </c>
      <c r="BJ24" s="268">
        <f t="shared" si="27"/>
        <v>0</v>
      </c>
      <c r="BK24" s="120">
        <f t="shared" si="28"/>
        <v>0</v>
      </c>
      <c r="BL24" s="120" t="str">
        <f t="shared" si="29"/>
        <v/>
      </c>
      <c r="BM24" s="266">
        <f t="shared" si="30"/>
        <v>0</v>
      </c>
      <c r="BN24" s="266">
        <f t="shared" si="31"/>
        <v>0</v>
      </c>
      <c r="BO24" s="266">
        <f t="shared" si="32"/>
        <v>0</v>
      </c>
      <c r="BP24" s="266" t="str">
        <f>IF(J24="","",(J24*Prezzi!$E$31)+L24)</f>
        <v/>
      </c>
      <c r="BQ24" s="120">
        <f t="shared" si="33"/>
        <v>0</v>
      </c>
      <c r="BR24" s="564">
        <f t="shared" si="34"/>
        <v>0</v>
      </c>
      <c r="BS24" s="120">
        <f t="shared" si="35"/>
        <v>0</v>
      </c>
      <c r="CA24"/>
    </row>
    <row r="25" spans="1:79" x14ac:dyDescent="0.15">
      <c r="A25" s="307">
        <v>22</v>
      </c>
      <c r="B25" s="282"/>
      <c r="C25" s="645"/>
      <c r="D25" s="646"/>
      <c r="E25" s="647"/>
      <c r="F25" s="645"/>
      <c r="G25" s="646"/>
      <c r="H25" s="647"/>
      <c r="I25" s="282"/>
      <c r="J25" s="795"/>
      <c r="K25" s="796"/>
      <c r="L25" s="784"/>
      <c r="M25" s="785"/>
      <c r="N25" s="786"/>
      <c r="O25" s="282"/>
      <c r="P25" s="610"/>
      <c r="Q25" s="362">
        <f t="shared" si="36"/>
        <v>0</v>
      </c>
      <c r="R25" s="363"/>
      <c r="S25" s="232">
        <f t="shared" si="17"/>
        <v>0</v>
      </c>
      <c r="T25" s="233"/>
      <c r="U25" s="233"/>
      <c r="V25" s="385" t="str">
        <f>IF(J25="","",IF(C25="Acquisti",F25,(Z25*Prezzi!$E$31)+L25))</f>
        <v/>
      </c>
      <c r="W25" s="431"/>
      <c r="X25" s="386"/>
      <c r="Y25" s="488" t="str">
        <f t="shared" si="37"/>
        <v/>
      </c>
      <c r="Z25" s="452">
        <f t="shared" si="1"/>
        <v>0</v>
      </c>
      <c r="AB25" s="266">
        <f t="shared" si="18"/>
        <v>0</v>
      </c>
      <c r="AC25" s="120">
        <f t="shared" si="2"/>
        <v>0</v>
      </c>
      <c r="AD25" s="122">
        <v>1</v>
      </c>
      <c r="AE25" s="120">
        <f>IF(C25=0,0,SUMIF(C25:C$53,C25,AD25:AD$53))</f>
        <v>0</v>
      </c>
      <c r="AF25" s="120">
        <f t="shared" si="3"/>
        <v>0</v>
      </c>
      <c r="AG25" s="120">
        <f t="shared" si="19"/>
        <v>0</v>
      </c>
      <c r="AH25" s="120">
        <f t="shared" si="4"/>
        <v>0</v>
      </c>
      <c r="AI25" s="120">
        <f t="shared" si="5"/>
        <v>0</v>
      </c>
      <c r="AJ25" s="120">
        <f t="shared" si="38"/>
        <v>0</v>
      </c>
      <c r="AK25" s="526">
        <f t="shared" si="7"/>
        <v>0</v>
      </c>
      <c r="AL25" s="120">
        <f t="shared" si="8"/>
        <v>0</v>
      </c>
      <c r="AM25" s="120" t="str">
        <f t="shared" si="9"/>
        <v/>
      </c>
      <c r="AN25" s="120"/>
      <c r="AP25" s="120">
        <f>IF(F25=0,0,SUMIF(F25:F$53,F25,AD25:AD$53))</f>
        <v>0</v>
      </c>
      <c r="AQ25" s="120">
        <f t="shared" si="10"/>
        <v>0</v>
      </c>
      <c r="AR25" s="120">
        <f t="shared" si="20"/>
        <v>0</v>
      </c>
      <c r="AS25" s="120">
        <f t="shared" si="11"/>
        <v>0</v>
      </c>
      <c r="AT25" s="120">
        <f t="shared" si="12"/>
        <v>0</v>
      </c>
      <c r="AU25" s="120">
        <f t="shared" si="21"/>
        <v>0</v>
      </c>
      <c r="AV25" s="120">
        <f t="shared" si="13"/>
        <v>0</v>
      </c>
      <c r="AW25" s="120">
        <f t="shared" si="14"/>
        <v>0</v>
      </c>
      <c r="AX25" s="120" t="str">
        <f t="shared" si="15"/>
        <v/>
      </c>
      <c r="AY25" s="120"/>
      <c r="AZ25" s="120"/>
      <c r="BA25" s="116"/>
      <c r="BB25" s="699">
        <f t="shared" si="22"/>
        <v>0</v>
      </c>
      <c r="BC25" s="699">
        <f t="shared" si="39"/>
        <v>0</v>
      </c>
      <c r="BD25" s="116"/>
      <c r="BE25" s="530" t="str">
        <f t="shared" si="23"/>
        <v/>
      </c>
      <c r="BF25" s="120">
        <f t="shared" si="24"/>
        <v>0</v>
      </c>
      <c r="BG25" s="120" t="str">
        <f t="shared" si="25"/>
        <v/>
      </c>
      <c r="BH25" s="120"/>
      <c r="BI25" s="120">
        <f t="shared" si="26"/>
        <v>0</v>
      </c>
      <c r="BJ25" s="268">
        <f t="shared" si="27"/>
        <v>0</v>
      </c>
      <c r="BK25" s="120">
        <f t="shared" si="28"/>
        <v>0</v>
      </c>
      <c r="BL25" s="120" t="str">
        <f t="shared" si="29"/>
        <v/>
      </c>
      <c r="BM25" s="266">
        <f t="shared" si="30"/>
        <v>0</v>
      </c>
      <c r="BN25" s="266">
        <f t="shared" si="31"/>
        <v>0</v>
      </c>
      <c r="BO25" s="266">
        <f t="shared" si="32"/>
        <v>0</v>
      </c>
      <c r="BP25" s="266" t="str">
        <f>IF(J25="","",(J25*Prezzi!$E$31)+L25)</f>
        <v/>
      </c>
      <c r="BQ25" s="120">
        <f t="shared" si="33"/>
        <v>0</v>
      </c>
      <c r="BR25" s="564">
        <f t="shared" si="34"/>
        <v>0</v>
      </c>
      <c r="BS25" s="120">
        <f t="shared" si="35"/>
        <v>0</v>
      </c>
      <c r="CA25"/>
    </row>
    <row r="26" spans="1:79" x14ac:dyDescent="0.15">
      <c r="A26" s="307">
        <v>23</v>
      </c>
      <c r="B26" s="282"/>
      <c r="C26" s="645"/>
      <c r="D26" s="646"/>
      <c r="E26" s="647"/>
      <c r="F26" s="645"/>
      <c r="G26" s="646"/>
      <c r="H26" s="647"/>
      <c r="I26" s="282"/>
      <c r="J26" s="795"/>
      <c r="K26" s="796"/>
      <c r="L26" s="784"/>
      <c r="M26" s="785"/>
      <c r="N26" s="786"/>
      <c r="O26" s="282"/>
      <c r="P26" s="610"/>
      <c r="Q26" s="362">
        <f t="shared" si="36"/>
        <v>0</v>
      </c>
      <c r="R26" s="363"/>
      <c r="S26" s="232">
        <f t="shared" si="17"/>
        <v>0</v>
      </c>
      <c r="T26" s="233"/>
      <c r="U26" s="233"/>
      <c r="V26" s="385" t="str">
        <f>IF(J26="","",IF(C26="Acquisti",F26,(Z26*Prezzi!$E$31)+L26))</f>
        <v/>
      </c>
      <c r="W26" s="431"/>
      <c r="X26" s="386"/>
      <c r="Y26" s="488" t="str">
        <f t="shared" si="37"/>
        <v/>
      </c>
      <c r="Z26" s="452">
        <f t="shared" si="1"/>
        <v>0</v>
      </c>
      <c r="AB26" s="266">
        <f t="shared" si="18"/>
        <v>0</v>
      </c>
      <c r="AC26" s="120">
        <f t="shared" si="2"/>
        <v>0</v>
      </c>
      <c r="AD26" s="122">
        <v>1</v>
      </c>
      <c r="AE26" s="120">
        <f>IF(C26=0,0,SUMIF(C26:C$53,C26,AD26:AD$53))</f>
        <v>0</v>
      </c>
      <c r="AF26" s="120">
        <f t="shared" si="3"/>
        <v>0</v>
      </c>
      <c r="AG26" s="120">
        <f t="shared" si="19"/>
        <v>0</v>
      </c>
      <c r="AH26" s="120">
        <f t="shared" si="4"/>
        <v>0</v>
      </c>
      <c r="AI26" s="120">
        <f t="shared" si="5"/>
        <v>0</v>
      </c>
      <c r="AJ26" s="120">
        <f t="shared" si="38"/>
        <v>0</v>
      </c>
      <c r="AK26" s="526">
        <f t="shared" si="7"/>
        <v>0</v>
      </c>
      <c r="AL26" s="120">
        <f t="shared" si="8"/>
        <v>0</v>
      </c>
      <c r="AM26" s="120" t="str">
        <f t="shared" si="9"/>
        <v/>
      </c>
      <c r="AN26" s="120"/>
      <c r="AP26" s="120">
        <f>IF(F26=0,0,SUMIF(F26:F$53,F26,AD26:AD$53))</f>
        <v>0</v>
      </c>
      <c r="AQ26" s="120">
        <f t="shared" si="10"/>
        <v>0</v>
      </c>
      <c r="AR26" s="120">
        <f t="shared" si="20"/>
        <v>0</v>
      </c>
      <c r="AS26" s="120">
        <f t="shared" si="11"/>
        <v>0</v>
      </c>
      <c r="AT26" s="120">
        <f t="shared" si="12"/>
        <v>0</v>
      </c>
      <c r="AU26" s="120">
        <f t="shared" si="21"/>
        <v>0</v>
      </c>
      <c r="AV26" s="120">
        <f t="shared" si="13"/>
        <v>0</v>
      </c>
      <c r="AW26" s="120">
        <f t="shared" si="14"/>
        <v>0</v>
      </c>
      <c r="AX26" s="120" t="str">
        <f t="shared" si="15"/>
        <v/>
      </c>
      <c r="AY26" s="120"/>
      <c r="AZ26" s="120"/>
      <c r="BA26" s="116"/>
      <c r="BB26" s="699">
        <f t="shared" si="22"/>
        <v>0</v>
      </c>
      <c r="BC26" s="699">
        <f t="shared" si="39"/>
        <v>0</v>
      </c>
      <c r="BD26" s="116"/>
      <c r="BE26" s="530" t="str">
        <f t="shared" si="23"/>
        <v/>
      </c>
      <c r="BF26" s="120">
        <f t="shared" si="24"/>
        <v>0</v>
      </c>
      <c r="BG26" s="120" t="str">
        <f t="shared" si="25"/>
        <v/>
      </c>
      <c r="BH26" s="120"/>
      <c r="BI26" s="120">
        <f t="shared" si="26"/>
        <v>0</v>
      </c>
      <c r="BJ26" s="268">
        <f t="shared" si="27"/>
        <v>0</v>
      </c>
      <c r="BK26" s="120">
        <f t="shared" si="28"/>
        <v>0</v>
      </c>
      <c r="BL26" s="120" t="str">
        <f t="shared" si="29"/>
        <v/>
      </c>
      <c r="BM26" s="266">
        <f t="shared" si="30"/>
        <v>0</v>
      </c>
      <c r="BN26" s="266">
        <f t="shared" si="31"/>
        <v>0</v>
      </c>
      <c r="BO26" s="266">
        <f t="shared" si="32"/>
        <v>0</v>
      </c>
      <c r="BP26" s="266" t="str">
        <f>IF(J26="","",(J26*Prezzi!$E$31)+L26)</f>
        <v/>
      </c>
      <c r="BQ26" s="120">
        <f t="shared" si="33"/>
        <v>0</v>
      </c>
      <c r="BR26" s="564">
        <f t="shared" si="34"/>
        <v>0</v>
      </c>
      <c r="BS26" s="120">
        <f t="shared" si="35"/>
        <v>0</v>
      </c>
      <c r="CA26"/>
    </row>
    <row r="27" spans="1:79" x14ac:dyDescent="0.15">
      <c r="A27" s="307">
        <v>24</v>
      </c>
      <c r="B27" s="282"/>
      <c r="C27" s="645"/>
      <c r="D27" s="646"/>
      <c r="E27" s="647"/>
      <c r="F27" s="645"/>
      <c r="G27" s="646"/>
      <c r="H27" s="647"/>
      <c r="I27" s="282"/>
      <c r="J27" s="795"/>
      <c r="K27" s="796"/>
      <c r="L27" s="784"/>
      <c r="M27" s="785"/>
      <c r="N27" s="786"/>
      <c r="O27" s="282"/>
      <c r="P27" s="610"/>
      <c r="Q27" s="362">
        <f t="shared" si="36"/>
        <v>0</v>
      </c>
      <c r="R27" s="363"/>
      <c r="S27" s="232">
        <f t="shared" si="17"/>
        <v>0</v>
      </c>
      <c r="T27" s="233"/>
      <c r="U27" s="233"/>
      <c r="V27" s="385" t="str">
        <f>IF(J27="","",IF(C27="Acquisti",F27,(Z27*Prezzi!$E$31)+L27))</f>
        <v/>
      </c>
      <c r="W27" s="431"/>
      <c r="X27" s="386"/>
      <c r="Y27" s="488" t="str">
        <f t="shared" si="37"/>
        <v/>
      </c>
      <c r="Z27" s="452">
        <f t="shared" si="1"/>
        <v>0</v>
      </c>
      <c r="AB27" s="266">
        <f t="shared" si="18"/>
        <v>0</v>
      </c>
      <c r="AC27" s="120">
        <f t="shared" si="2"/>
        <v>0</v>
      </c>
      <c r="AD27" s="122">
        <v>1</v>
      </c>
      <c r="AE27" s="120">
        <f>IF(C27=0,0,SUMIF(C27:C$53,C27,AD27:AD$53))</f>
        <v>0</v>
      </c>
      <c r="AF27" s="120">
        <f t="shared" si="3"/>
        <v>0</v>
      </c>
      <c r="AG27" s="120">
        <f t="shared" si="19"/>
        <v>0</v>
      </c>
      <c r="AH27" s="120">
        <f t="shared" si="4"/>
        <v>0</v>
      </c>
      <c r="AI27" s="120">
        <f t="shared" si="5"/>
        <v>0</v>
      </c>
      <c r="AJ27" s="120">
        <f t="shared" si="38"/>
        <v>0</v>
      </c>
      <c r="AK27" s="526">
        <f t="shared" si="7"/>
        <v>0</v>
      </c>
      <c r="AL27" s="120">
        <f t="shared" si="8"/>
        <v>0</v>
      </c>
      <c r="AM27" s="120" t="str">
        <f t="shared" si="9"/>
        <v/>
      </c>
      <c r="AN27" s="120"/>
      <c r="AP27" s="120">
        <f>IF(F27=0,0,SUMIF(F27:F$53,F27,AD27:AD$53))</f>
        <v>0</v>
      </c>
      <c r="AQ27" s="120">
        <f t="shared" si="10"/>
        <v>0</v>
      </c>
      <c r="AR27" s="120">
        <f t="shared" si="20"/>
        <v>0</v>
      </c>
      <c r="AS27" s="120">
        <f t="shared" si="11"/>
        <v>0</v>
      </c>
      <c r="AT27" s="120">
        <f t="shared" si="12"/>
        <v>0</v>
      </c>
      <c r="AU27" s="120">
        <f t="shared" si="21"/>
        <v>0</v>
      </c>
      <c r="AV27" s="120">
        <f t="shared" si="13"/>
        <v>0</v>
      </c>
      <c r="AW27" s="120">
        <f t="shared" si="14"/>
        <v>0</v>
      </c>
      <c r="AX27" s="120" t="str">
        <f t="shared" si="15"/>
        <v/>
      </c>
      <c r="AY27" s="120"/>
      <c r="AZ27" s="120"/>
      <c r="BA27" s="116"/>
      <c r="BB27" s="699">
        <f t="shared" si="22"/>
        <v>0</v>
      </c>
      <c r="BC27" s="699">
        <f t="shared" si="39"/>
        <v>0</v>
      </c>
      <c r="BD27" s="116"/>
      <c r="BE27" s="530" t="str">
        <f t="shared" si="23"/>
        <v/>
      </c>
      <c r="BF27" s="120">
        <f t="shared" si="24"/>
        <v>0</v>
      </c>
      <c r="BG27" s="120" t="str">
        <f t="shared" si="25"/>
        <v/>
      </c>
      <c r="BH27" s="120"/>
      <c r="BI27" s="120">
        <f t="shared" si="26"/>
        <v>0</v>
      </c>
      <c r="BJ27" s="268">
        <f t="shared" si="27"/>
        <v>0</v>
      </c>
      <c r="BK27" s="120">
        <f t="shared" si="28"/>
        <v>0</v>
      </c>
      <c r="BL27" s="120" t="str">
        <f t="shared" si="29"/>
        <v/>
      </c>
      <c r="BM27" s="266">
        <f t="shared" si="30"/>
        <v>0</v>
      </c>
      <c r="BN27" s="266">
        <f t="shared" si="31"/>
        <v>0</v>
      </c>
      <c r="BO27" s="266">
        <f t="shared" si="32"/>
        <v>0</v>
      </c>
      <c r="BP27" s="266" t="str">
        <f>IF(J27="","",(J27*Prezzi!$E$31)+L27)</f>
        <v/>
      </c>
      <c r="BQ27" s="120">
        <f t="shared" si="33"/>
        <v>0</v>
      </c>
      <c r="BR27" s="564">
        <f t="shared" si="34"/>
        <v>0</v>
      </c>
      <c r="BS27" s="120">
        <f t="shared" si="35"/>
        <v>0</v>
      </c>
      <c r="CA27"/>
    </row>
    <row r="28" spans="1:79" x14ac:dyDescent="0.15">
      <c r="A28" s="307">
        <v>25</v>
      </c>
      <c r="B28" s="282"/>
      <c r="C28" s="645"/>
      <c r="D28" s="646"/>
      <c r="E28" s="647"/>
      <c r="F28" s="645"/>
      <c r="G28" s="646"/>
      <c r="H28" s="647"/>
      <c r="I28" s="282"/>
      <c r="J28" s="795"/>
      <c r="K28" s="796"/>
      <c r="L28" s="784"/>
      <c r="M28" s="785"/>
      <c r="N28" s="786"/>
      <c r="O28" s="282"/>
      <c r="P28" s="610"/>
      <c r="Q28" s="362">
        <f t="shared" si="36"/>
        <v>0</v>
      </c>
      <c r="R28" s="363"/>
      <c r="S28" s="232">
        <f t="shared" si="17"/>
        <v>0</v>
      </c>
      <c r="T28" s="233"/>
      <c r="U28" s="233"/>
      <c r="V28" s="385" t="str">
        <f>IF(J28="","",IF(C28="Acquisti",F28,(Z28*Prezzi!$E$31)+L28))</f>
        <v/>
      </c>
      <c r="W28" s="431"/>
      <c r="X28" s="386"/>
      <c r="Y28" s="488" t="str">
        <f t="shared" si="37"/>
        <v/>
      </c>
      <c r="Z28" s="452">
        <f t="shared" si="1"/>
        <v>0</v>
      </c>
      <c r="AB28" s="266">
        <f t="shared" si="18"/>
        <v>0</v>
      </c>
      <c r="AC28" s="120">
        <f t="shared" si="2"/>
        <v>0</v>
      </c>
      <c r="AD28" s="122">
        <v>1</v>
      </c>
      <c r="AE28" s="120">
        <f>IF(C28=0,0,SUMIF(C28:C$53,C28,AD28:AD$53))</f>
        <v>0</v>
      </c>
      <c r="AF28" s="120">
        <f t="shared" si="3"/>
        <v>0</v>
      </c>
      <c r="AG28" s="120">
        <f t="shared" si="19"/>
        <v>0</v>
      </c>
      <c r="AH28" s="120">
        <f t="shared" si="4"/>
        <v>0</v>
      </c>
      <c r="AI28" s="120">
        <f t="shared" si="5"/>
        <v>0</v>
      </c>
      <c r="AJ28" s="120">
        <f t="shared" si="38"/>
        <v>0</v>
      </c>
      <c r="AK28" s="526">
        <f t="shared" si="7"/>
        <v>0</v>
      </c>
      <c r="AL28" s="120">
        <f t="shared" si="8"/>
        <v>0</v>
      </c>
      <c r="AM28" s="120" t="str">
        <f t="shared" si="9"/>
        <v/>
      </c>
      <c r="AN28" s="120"/>
      <c r="AP28" s="120">
        <f>IF(F28=0,0,SUMIF(F28:F$53,F28,AD28:AD$53))</f>
        <v>0</v>
      </c>
      <c r="AQ28" s="120">
        <f t="shared" si="10"/>
        <v>0</v>
      </c>
      <c r="AR28" s="120">
        <f t="shared" si="20"/>
        <v>0</v>
      </c>
      <c r="AS28" s="120">
        <f t="shared" si="11"/>
        <v>0</v>
      </c>
      <c r="AT28" s="120">
        <f t="shared" si="12"/>
        <v>0</v>
      </c>
      <c r="AU28" s="120">
        <f t="shared" si="21"/>
        <v>0</v>
      </c>
      <c r="AV28" s="120">
        <f t="shared" si="13"/>
        <v>0</v>
      </c>
      <c r="AW28" s="120">
        <f t="shared" si="14"/>
        <v>0</v>
      </c>
      <c r="AX28" s="120" t="str">
        <f t="shared" si="15"/>
        <v/>
      </c>
      <c r="AY28" s="120"/>
      <c r="AZ28" s="120"/>
      <c r="BA28" s="116"/>
      <c r="BB28" s="699">
        <f t="shared" si="22"/>
        <v>0</v>
      </c>
      <c r="BC28" s="699">
        <f t="shared" si="39"/>
        <v>0</v>
      </c>
      <c r="BD28" s="116"/>
      <c r="BE28" s="530" t="str">
        <f t="shared" si="23"/>
        <v/>
      </c>
      <c r="BF28" s="120">
        <f t="shared" si="24"/>
        <v>0</v>
      </c>
      <c r="BG28" s="120" t="str">
        <f t="shared" si="25"/>
        <v/>
      </c>
      <c r="BH28" s="120"/>
      <c r="BI28" s="120">
        <f t="shared" si="26"/>
        <v>0</v>
      </c>
      <c r="BJ28" s="268">
        <f t="shared" si="27"/>
        <v>0</v>
      </c>
      <c r="BK28" s="120">
        <f t="shared" si="28"/>
        <v>0</v>
      </c>
      <c r="BL28" s="120" t="str">
        <f t="shared" si="29"/>
        <v/>
      </c>
      <c r="BM28" s="266">
        <f t="shared" si="30"/>
        <v>0</v>
      </c>
      <c r="BN28" s="266">
        <f t="shared" si="31"/>
        <v>0</v>
      </c>
      <c r="BO28" s="266">
        <f t="shared" si="32"/>
        <v>0</v>
      </c>
      <c r="BP28" s="266" t="str">
        <f>IF(J28="","",(J28*Prezzi!$E$31)+L28)</f>
        <v/>
      </c>
      <c r="BQ28" s="120">
        <f t="shared" si="33"/>
        <v>0</v>
      </c>
      <c r="BR28" s="564">
        <f t="shared" si="34"/>
        <v>0</v>
      </c>
      <c r="BS28" s="120">
        <f t="shared" si="35"/>
        <v>0</v>
      </c>
      <c r="CA28"/>
    </row>
    <row r="29" spans="1:79" x14ac:dyDescent="0.15">
      <c r="A29" s="307">
        <v>26</v>
      </c>
      <c r="B29" s="282"/>
      <c r="C29" s="645"/>
      <c r="D29" s="646"/>
      <c r="E29" s="647"/>
      <c r="F29" s="645"/>
      <c r="G29" s="646"/>
      <c r="H29" s="647"/>
      <c r="I29" s="282"/>
      <c r="J29" s="795"/>
      <c r="K29" s="796"/>
      <c r="L29" s="784"/>
      <c r="M29" s="785"/>
      <c r="N29" s="786"/>
      <c r="O29" s="282"/>
      <c r="P29" s="610"/>
      <c r="Q29" s="362">
        <f t="shared" si="36"/>
        <v>0</v>
      </c>
      <c r="R29" s="363"/>
      <c r="S29" s="232">
        <f t="shared" si="17"/>
        <v>0</v>
      </c>
      <c r="T29" s="233"/>
      <c r="U29" s="233"/>
      <c r="V29" s="385" t="str">
        <f>IF(J29="","",IF(C29="Acquisti",F29,(Z29*Prezzi!$E$31)+L29))</f>
        <v/>
      </c>
      <c r="W29" s="431"/>
      <c r="X29" s="386"/>
      <c r="Y29" s="488" t="str">
        <f t="shared" si="37"/>
        <v/>
      </c>
      <c r="Z29" s="452">
        <f t="shared" si="1"/>
        <v>0</v>
      </c>
      <c r="AB29" s="266">
        <f t="shared" si="18"/>
        <v>0</v>
      </c>
      <c r="AC29" s="120">
        <f t="shared" si="2"/>
        <v>0</v>
      </c>
      <c r="AD29" s="122">
        <v>1</v>
      </c>
      <c r="AE29" s="120">
        <f>IF(C29=0,0,SUMIF(C29:C$53,C29,AD29:AD$53))</f>
        <v>0</v>
      </c>
      <c r="AF29" s="120">
        <f t="shared" si="3"/>
        <v>0</v>
      </c>
      <c r="AG29" s="120">
        <f t="shared" si="19"/>
        <v>0</v>
      </c>
      <c r="AH29" s="120">
        <f t="shared" si="4"/>
        <v>0</v>
      </c>
      <c r="AI29" s="120">
        <f t="shared" si="5"/>
        <v>0</v>
      </c>
      <c r="AJ29" s="120">
        <f t="shared" si="38"/>
        <v>0</v>
      </c>
      <c r="AK29" s="526">
        <f t="shared" si="7"/>
        <v>0</v>
      </c>
      <c r="AL29" s="120">
        <f t="shared" si="8"/>
        <v>0</v>
      </c>
      <c r="AM29" s="120" t="str">
        <f t="shared" si="9"/>
        <v/>
      </c>
      <c r="AN29" s="120"/>
      <c r="AP29" s="120">
        <f>IF(F29=0,0,SUMIF(F29:F$53,F29,AD29:AD$53))</f>
        <v>0</v>
      </c>
      <c r="AQ29" s="120">
        <f t="shared" si="10"/>
        <v>0</v>
      </c>
      <c r="AR29" s="120">
        <f t="shared" si="20"/>
        <v>0</v>
      </c>
      <c r="AS29" s="120">
        <f t="shared" si="11"/>
        <v>0</v>
      </c>
      <c r="AT29" s="120">
        <f t="shared" si="12"/>
        <v>0</v>
      </c>
      <c r="AU29" s="120">
        <f t="shared" si="21"/>
        <v>0</v>
      </c>
      <c r="AV29" s="120">
        <f t="shared" si="13"/>
        <v>0</v>
      </c>
      <c r="AW29" s="120">
        <f t="shared" si="14"/>
        <v>0</v>
      </c>
      <c r="AX29" s="120" t="str">
        <f t="shared" si="15"/>
        <v/>
      </c>
      <c r="AY29" s="120"/>
      <c r="AZ29" s="120"/>
      <c r="BA29" s="116"/>
      <c r="BB29" s="699">
        <f t="shared" si="22"/>
        <v>0</v>
      </c>
      <c r="BC29" s="699">
        <f t="shared" si="39"/>
        <v>0</v>
      </c>
      <c r="BD29" s="116"/>
      <c r="BE29" s="530" t="str">
        <f t="shared" si="23"/>
        <v/>
      </c>
      <c r="BF29" s="120">
        <f t="shared" si="24"/>
        <v>0</v>
      </c>
      <c r="BG29" s="120" t="str">
        <f t="shared" si="25"/>
        <v/>
      </c>
      <c r="BH29" s="120"/>
      <c r="BI29" s="120">
        <f t="shared" si="26"/>
        <v>0</v>
      </c>
      <c r="BJ29" s="268">
        <f t="shared" si="27"/>
        <v>0</v>
      </c>
      <c r="BK29" s="120">
        <f t="shared" si="28"/>
        <v>0</v>
      </c>
      <c r="BL29" s="120" t="str">
        <f t="shared" si="29"/>
        <v/>
      </c>
      <c r="BM29" s="266">
        <f t="shared" si="30"/>
        <v>0</v>
      </c>
      <c r="BN29" s="266">
        <f t="shared" si="31"/>
        <v>0</v>
      </c>
      <c r="BO29" s="266">
        <f t="shared" si="32"/>
        <v>0</v>
      </c>
      <c r="BP29" s="266" t="str">
        <f>IF(J29="","",(J29*Prezzi!$E$31)+L29)</f>
        <v/>
      </c>
      <c r="BQ29" s="120">
        <f t="shared" si="33"/>
        <v>0</v>
      </c>
      <c r="BR29" s="564">
        <f t="shared" si="34"/>
        <v>0</v>
      </c>
      <c r="BS29" s="120">
        <f t="shared" si="35"/>
        <v>0</v>
      </c>
      <c r="CA29"/>
    </row>
    <row r="30" spans="1:79" x14ac:dyDescent="0.15">
      <c r="A30" s="307">
        <v>27</v>
      </c>
      <c r="B30" s="282"/>
      <c r="C30" s="645"/>
      <c r="D30" s="646"/>
      <c r="E30" s="647"/>
      <c r="F30" s="645"/>
      <c r="G30" s="646"/>
      <c r="H30" s="647"/>
      <c r="I30" s="282"/>
      <c r="J30" s="795"/>
      <c r="K30" s="796"/>
      <c r="L30" s="784"/>
      <c r="M30" s="785"/>
      <c r="N30" s="786"/>
      <c r="O30" s="282"/>
      <c r="P30" s="610"/>
      <c r="Q30" s="362">
        <f t="shared" si="36"/>
        <v>0</v>
      </c>
      <c r="R30" s="363"/>
      <c r="S30" s="232">
        <f t="shared" si="17"/>
        <v>0</v>
      </c>
      <c r="T30" s="233"/>
      <c r="U30" s="233"/>
      <c r="V30" s="385" t="str">
        <f>IF(J30="","",IF(C30="Acquisti",F30,(Z30*Prezzi!$E$31)+L30))</f>
        <v/>
      </c>
      <c r="W30" s="431"/>
      <c r="X30" s="386"/>
      <c r="Y30" s="488" t="str">
        <f t="shared" si="37"/>
        <v/>
      </c>
      <c r="Z30" s="452">
        <f t="shared" si="1"/>
        <v>0</v>
      </c>
      <c r="AB30" s="266">
        <f t="shared" si="18"/>
        <v>0</v>
      </c>
      <c r="AC30" s="120">
        <f t="shared" si="2"/>
        <v>0</v>
      </c>
      <c r="AD30" s="122">
        <v>1</v>
      </c>
      <c r="AE30" s="120">
        <f>IF(C30=0,0,SUMIF(C30:C$53,C30,AD30:AD$53))</f>
        <v>0</v>
      </c>
      <c r="AF30" s="120">
        <f t="shared" si="3"/>
        <v>0</v>
      </c>
      <c r="AG30" s="120">
        <f t="shared" si="19"/>
        <v>0</v>
      </c>
      <c r="AH30" s="120">
        <f t="shared" si="4"/>
        <v>0</v>
      </c>
      <c r="AI30" s="120">
        <f t="shared" si="5"/>
        <v>0</v>
      </c>
      <c r="AJ30" s="120">
        <f t="shared" si="38"/>
        <v>0</v>
      </c>
      <c r="AK30" s="526">
        <f t="shared" si="7"/>
        <v>0</v>
      </c>
      <c r="AL30" s="120">
        <f t="shared" si="8"/>
        <v>0</v>
      </c>
      <c r="AM30" s="120" t="str">
        <f t="shared" si="9"/>
        <v/>
      </c>
      <c r="AN30" s="120"/>
      <c r="AP30" s="120">
        <f>IF(F30=0,0,SUMIF(F30:F$53,F30,AD30:AD$53))</f>
        <v>0</v>
      </c>
      <c r="AQ30" s="120">
        <f t="shared" si="10"/>
        <v>0</v>
      </c>
      <c r="AR30" s="120">
        <f t="shared" si="20"/>
        <v>0</v>
      </c>
      <c r="AS30" s="120">
        <f t="shared" si="11"/>
        <v>0</v>
      </c>
      <c r="AT30" s="120">
        <f t="shared" si="12"/>
        <v>0</v>
      </c>
      <c r="AU30" s="120">
        <f t="shared" si="21"/>
        <v>0</v>
      </c>
      <c r="AV30" s="120">
        <f t="shared" si="13"/>
        <v>0</v>
      </c>
      <c r="AW30" s="120">
        <f t="shared" si="14"/>
        <v>0</v>
      </c>
      <c r="AX30" s="120" t="str">
        <f t="shared" si="15"/>
        <v/>
      </c>
      <c r="AY30" s="120"/>
      <c r="AZ30" s="120"/>
      <c r="BA30" s="116"/>
      <c r="BB30" s="699">
        <f t="shared" si="22"/>
        <v>0</v>
      </c>
      <c r="BC30" s="699">
        <f t="shared" si="39"/>
        <v>0</v>
      </c>
      <c r="BD30" s="116"/>
      <c r="BE30" s="530" t="str">
        <f t="shared" si="23"/>
        <v/>
      </c>
      <c r="BF30" s="120">
        <f t="shared" si="24"/>
        <v>0</v>
      </c>
      <c r="BG30" s="120" t="str">
        <f t="shared" si="25"/>
        <v/>
      </c>
      <c r="BH30" s="120"/>
      <c r="BI30" s="120">
        <f t="shared" si="26"/>
        <v>0</v>
      </c>
      <c r="BJ30" s="268">
        <f t="shared" si="27"/>
        <v>0</v>
      </c>
      <c r="BK30" s="120">
        <f t="shared" si="28"/>
        <v>0</v>
      </c>
      <c r="BL30" s="120" t="str">
        <f t="shared" si="29"/>
        <v/>
      </c>
      <c r="BM30" s="266">
        <f t="shared" si="30"/>
        <v>0</v>
      </c>
      <c r="BN30" s="266">
        <f t="shared" si="31"/>
        <v>0</v>
      </c>
      <c r="BO30" s="266">
        <f t="shared" si="32"/>
        <v>0</v>
      </c>
      <c r="BP30" s="266" t="str">
        <f>IF(J30="","",(J30*Prezzi!$E$31)+L30)</f>
        <v/>
      </c>
      <c r="BQ30" s="120">
        <f t="shared" si="33"/>
        <v>0</v>
      </c>
      <c r="BR30" s="564">
        <f t="shared" si="34"/>
        <v>0</v>
      </c>
      <c r="BS30" s="120">
        <f t="shared" si="35"/>
        <v>0</v>
      </c>
      <c r="CA30"/>
    </row>
    <row r="31" spans="1:79" x14ac:dyDescent="0.15">
      <c r="A31" s="307">
        <v>28</v>
      </c>
      <c r="B31" s="282"/>
      <c r="C31" s="645"/>
      <c r="D31" s="646"/>
      <c r="E31" s="647"/>
      <c r="F31" s="645"/>
      <c r="G31" s="646"/>
      <c r="H31" s="647"/>
      <c r="I31" s="282"/>
      <c r="J31" s="795"/>
      <c r="K31" s="796"/>
      <c r="L31" s="784"/>
      <c r="M31" s="785"/>
      <c r="N31" s="786"/>
      <c r="O31" s="282"/>
      <c r="P31" s="610"/>
      <c r="Q31" s="362">
        <f t="shared" si="36"/>
        <v>0</v>
      </c>
      <c r="R31" s="363"/>
      <c r="S31" s="232">
        <f t="shared" si="17"/>
        <v>0</v>
      </c>
      <c r="T31" s="233"/>
      <c r="U31" s="233"/>
      <c r="V31" s="385" t="str">
        <f>IF(J31="","",IF(C31="Acquisti",F31,(Z31*Prezzi!$E$31)+L31))</f>
        <v/>
      </c>
      <c r="W31" s="431"/>
      <c r="X31" s="386"/>
      <c r="Y31" s="488" t="str">
        <f t="shared" si="37"/>
        <v/>
      </c>
      <c r="Z31" s="452">
        <f t="shared" si="1"/>
        <v>0</v>
      </c>
      <c r="AB31" s="266">
        <f t="shared" si="18"/>
        <v>0</v>
      </c>
      <c r="AC31" s="120">
        <f t="shared" si="2"/>
        <v>0</v>
      </c>
      <c r="AD31" s="122">
        <v>1</v>
      </c>
      <c r="AE31" s="120">
        <f>IF(C31=0,0,SUMIF(C31:C$53,C31,AD31:AD$53))</f>
        <v>0</v>
      </c>
      <c r="AF31" s="120">
        <f t="shared" si="3"/>
        <v>0</v>
      </c>
      <c r="AG31" s="120">
        <f t="shared" si="19"/>
        <v>0</v>
      </c>
      <c r="AH31" s="120">
        <f t="shared" si="4"/>
        <v>0</v>
      </c>
      <c r="AI31" s="120">
        <f t="shared" si="5"/>
        <v>0</v>
      </c>
      <c r="AJ31" s="120">
        <f t="shared" si="38"/>
        <v>0</v>
      </c>
      <c r="AK31" s="526">
        <f t="shared" si="7"/>
        <v>0</v>
      </c>
      <c r="AL31" s="120">
        <f t="shared" si="8"/>
        <v>0</v>
      </c>
      <c r="AM31" s="120" t="str">
        <f t="shared" si="9"/>
        <v/>
      </c>
      <c r="AN31" s="120"/>
      <c r="AP31" s="120">
        <f>IF(F31=0,0,SUMIF(F31:F$53,F31,AD31:AD$53))</f>
        <v>0</v>
      </c>
      <c r="AQ31" s="120">
        <f t="shared" si="10"/>
        <v>0</v>
      </c>
      <c r="AR31" s="120">
        <f t="shared" si="20"/>
        <v>0</v>
      </c>
      <c r="AS31" s="120">
        <f t="shared" si="11"/>
        <v>0</v>
      </c>
      <c r="AT31" s="120">
        <f t="shared" si="12"/>
        <v>0</v>
      </c>
      <c r="AU31" s="120">
        <f t="shared" si="21"/>
        <v>0</v>
      </c>
      <c r="AV31" s="120">
        <f t="shared" si="13"/>
        <v>0</v>
      </c>
      <c r="AW31" s="120">
        <f t="shared" si="14"/>
        <v>0</v>
      </c>
      <c r="AX31" s="120" t="str">
        <f t="shared" si="15"/>
        <v/>
      </c>
      <c r="AY31" s="120"/>
      <c r="AZ31" s="120"/>
      <c r="BA31" s="116"/>
      <c r="BB31" s="699">
        <f t="shared" si="22"/>
        <v>0</v>
      </c>
      <c r="BC31" s="699">
        <f t="shared" si="39"/>
        <v>0</v>
      </c>
      <c r="BD31" s="116"/>
      <c r="BE31" s="530" t="str">
        <f t="shared" si="23"/>
        <v/>
      </c>
      <c r="BF31" s="120">
        <f t="shared" si="24"/>
        <v>0</v>
      </c>
      <c r="BG31" s="120" t="str">
        <f t="shared" si="25"/>
        <v/>
      </c>
      <c r="BH31" s="120"/>
      <c r="BI31" s="120">
        <f t="shared" si="26"/>
        <v>0</v>
      </c>
      <c r="BJ31" s="268">
        <f t="shared" si="27"/>
        <v>0</v>
      </c>
      <c r="BK31" s="120">
        <f t="shared" si="28"/>
        <v>0</v>
      </c>
      <c r="BL31" s="120" t="str">
        <f t="shared" si="29"/>
        <v/>
      </c>
      <c r="BM31" s="266">
        <f t="shared" si="30"/>
        <v>0</v>
      </c>
      <c r="BN31" s="266">
        <f t="shared" si="31"/>
        <v>0</v>
      </c>
      <c r="BO31" s="266">
        <f t="shared" si="32"/>
        <v>0</v>
      </c>
      <c r="BP31" s="266" t="str">
        <f>IF(J31="","",(J31*Prezzi!$E$31)+L31)</f>
        <v/>
      </c>
      <c r="BQ31" s="120">
        <f t="shared" si="33"/>
        <v>0</v>
      </c>
      <c r="BR31" s="564">
        <f t="shared" si="34"/>
        <v>0</v>
      </c>
      <c r="BS31" s="120">
        <f t="shared" si="35"/>
        <v>0</v>
      </c>
      <c r="CA31"/>
    </row>
    <row r="32" spans="1:79" x14ac:dyDescent="0.15">
      <c r="A32" s="307">
        <v>29</v>
      </c>
      <c r="B32" s="282"/>
      <c r="C32" s="645"/>
      <c r="D32" s="646"/>
      <c r="E32" s="647"/>
      <c r="F32" s="645"/>
      <c r="G32" s="646"/>
      <c r="H32" s="647"/>
      <c r="I32" s="282"/>
      <c r="J32" s="795"/>
      <c r="K32" s="796"/>
      <c r="L32" s="784"/>
      <c r="M32" s="785"/>
      <c r="N32" s="786"/>
      <c r="O32" s="282"/>
      <c r="P32" s="610"/>
      <c r="Q32" s="362">
        <f t="shared" si="36"/>
        <v>0</v>
      </c>
      <c r="R32" s="363"/>
      <c r="S32" s="232">
        <f t="shared" si="17"/>
        <v>0</v>
      </c>
      <c r="T32" s="233"/>
      <c r="U32" s="233"/>
      <c r="V32" s="385" t="str">
        <f>IF(J32="","",IF(C32="Acquisti",F32,(Z32*Prezzi!$E$31)+L32))</f>
        <v/>
      </c>
      <c r="W32" s="431"/>
      <c r="X32" s="386"/>
      <c r="Y32" s="488" t="str">
        <f t="shared" si="37"/>
        <v/>
      </c>
      <c r="Z32" s="452">
        <f t="shared" si="1"/>
        <v>0</v>
      </c>
      <c r="AB32" s="266">
        <f t="shared" si="18"/>
        <v>0</v>
      </c>
      <c r="AC32" s="120">
        <f t="shared" si="2"/>
        <v>0</v>
      </c>
      <c r="AD32" s="122">
        <v>1</v>
      </c>
      <c r="AE32" s="120">
        <f>IF(C32=0,0,SUMIF(C32:C$53,C32,AD32:AD$53))</f>
        <v>0</v>
      </c>
      <c r="AF32" s="120">
        <f t="shared" si="3"/>
        <v>0</v>
      </c>
      <c r="AG32" s="120">
        <f t="shared" si="19"/>
        <v>0</v>
      </c>
      <c r="AH32" s="120">
        <f t="shared" si="4"/>
        <v>0</v>
      </c>
      <c r="AI32" s="120">
        <f t="shared" si="5"/>
        <v>0</v>
      </c>
      <c r="AJ32" s="120">
        <f t="shared" si="38"/>
        <v>0</v>
      </c>
      <c r="AK32" s="526">
        <f t="shared" si="7"/>
        <v>0</v>
      </c>
      <c r="AL32" s="120">
        <f t="shared" si="8"/>
        <v>0</v>
      </c>
      <c r="AM32" s="120" t="str">
        <f t="shared" si="9"/>
        <v/>
      </c>
      <c r="AN32" s="120"/>
      <c r="AP32" s="120">
        <f>IF(F32=0,0,SUMIF(F32:F$53,F32,AD32:AD$53))</f>
        <v>0</v>
      </c>
      <c r="AQ32" s="120">
        <f t="shared" si="10"/>
        <v>0</v>
      </c>
      <c r="AR32" s="120">
        <f t="shared" si="20"/>
        <v>0</v>
      </c>
      <c r="AS32" s="120">
        <f t="shared" si="11"/>
        <v>0</v>
      </c>
      <c r="AT32" s="120">
        <f t="shared" si="12"/>
        <v>0</v>
      </c>
      <c r="AU32" s="120">
        <f t="shared" si="21"/>
        <v>0</v>
      </c>
      <c r="AV32" s="120">
        <f t="shared" si="13"/>
        <v>0</v>
      </c>
      <c r="AW32" s="120">
        <f t="shared" si="14"/>
        <v>0</v>
      </c>
      <c r="AX32" s="120" t="str">
        <f t="shared" si="15"/>
        <v/>
      </c>
      <c r="AY32" s="120"/>
      <c r="AZ32" s="120"/>
      <c r="BA32" s="116"/>
      <c r="BB32" s="699">
        <f t="shared" si="22"/>
        <v>0</v>
      </c>
      <c r="BC32" s="699">
        <f t="shared" si="39"/>
        <v>0</v>
      </c>
      <c r="BD32" s="116"/>
      <c r="BE32" s="530" t="str">
        <f t="shared" si="23"/>
        <v/>
      </c>
      <c r="BF32" s="120">
        <f t="shared" si="24"/>
        <v>0</v>
      </c>
      <c r="BG32" s="120" t="str">
        <f t="shared" si="25"/>
        <v/>
      </c>
      <c r="BH32" s="120"/>
      <c r="BI32" s="120">
        <f t="shared" si="26"/>
        <v>0</v>
      </c>
      <c r="BJ32" s="268">
        <f t="shared" si="27"/>
        <v>0</v>
      </c>
      <c r="BK32" s="120">
        <f t="shared" si="28"/>
        <v>0</v>
      </c>
      <c r="BL32" s="120" t="str">
        <f t="shared" si="29"/>
        <v/>
      </c>
      <c r="BM32" s="266">
        <f t="shared" si="30"/>
        <v>0</v>
      </c>
      <c r="BN32" s="266">
        <f t="shared" si="31"/>
        <v>0</v>
      </c>
      <c r="BO32" s="266">
        <f t="shared" si="32"/>
        <v>0</v>
      </c>
      <c r="BP32" s="266" t="str">
        <f>IF(J32="","",(J32*Prezzi!$E$31)+L32)</f>
        <v/>
      </c>
      <c r="BQ32" s="120">
        <f t="shared" si="33"/>
        <v>0</v>
      </c>
      <c r="BR32" s="564">
        <f t="shared" si="34"/>
        <v>0</v>
      </c>
      <c r="BS32" s="120">
        <f t="shared" si="35"/>
        <v>0</v>
      </c>
      <c r="CA32"/>
    </row>
    <row r="33" spans="1:79" x14ac:dyDescent="0.15">
      <c r="A33" s="307">
        <v>30</v>
      </c>
      <c r="B33" s="282"/>
      <c r="C33" s="645"/>
      <c r="D33" s="646"/>
      <c r="E33" s="647"/>
      <c r="F33" s="645"/>
      <c r="G33" s="646"/>
      <c r="H33" s="647"/>
      <c r="I33" s="282"/>
      <c r="J33" s="795"/>
      <c r="K33" s="796"/>
      <c r="L33" s="784"/>
      <c r="M33" s="785"/>
      <c r="N33" s="786"/>
      <c r="O33" s="282"/>
      <c r="P33" s="610"/>
      <c r="Q33" s="362">
        <f t="shared" si="36"/>
        <v>0</v>
      </c>
      <c r="R33" s="363"/>
      <c r="S33" s="232">
        <f t="shared" si="17"/>
        <v>0</v>
      </c>
      <c r="T33" s="233"/>
      <c r="U33" s="233"/>
      <c r="V33" s="385" t="str">
        <f>IF(J33="","",IF(C33="Acquisti",F33,(Z33*Prezzi!$E$31)+L33))</f>
        <v/>
      </c>
      <c r="W33" s="431"/>
      <c r="X33" s="386"/>
      <c r="Y33" s="488" t="str">
        <f t="shared" si="37"/>
        <v/>
      </c>
      <c r="Z33" s="452">
        <f t="shared" si="1"/>
        <v>0</v>
      </c>
      <c r="AB33" s="266">
        <f t="shared" si="18"/>
        <v>0</v>
      </c>
      <c r="AC33" s="120">
        <f t="shared" si="2"/>
        <v>0</v>
      </c>
      <c r="AD33" s="122">
        <v>1</v>
      </c>
      <c r="AE33" s="120">
        <f>IF(C33=0,0,SUMIF(C33:C$53,C33,AD33:AD$53))</f>
        <v>0</v>
      </c>
      <c r="AF33" s="120">
        <f t="shared" si="3"/>
        <v>0</v>
      </c>
      <c r="AG33" s="120">
        <f t="shared" si="19"/>
        <v>0</v>
      </c>
      <c r="AH33" s="120">
        <f t="shared" si="4"/>
        <v>0</v>
      </c>
      <c r="AI33" s="120">
        <f t="shared" si="5"/>
        <v>0</v>
      </c>
      <c r="AJ33" s="120">
        <f t="shared" si="38"/>
        <v>0</v>
      </c>
      <c r="AK33" s="526">
        <f t="shared" si="7"/>
        <v>0</v>
      </c>
      <c r="AL33" s="120">
        <f t="shared" si="8"/>
        <v>0</v>
      </c>
      <c r="AM33" s="120" t="str">
        <f t="shared" si="9"/>
        <v/>
      </c>
      <c r="AN33" s="120"/>
      <c r="AP33" s="120">
        <f>IF(F33=0,0,SUMIF(F33:F$53,F33,AD33:AD$53))</f>
        <v>0</v>
      </c>
      <c r="AQ33" s="120">
        <f t="shared" si="10"/>
        <v>0</v>
      </c>
      <c r="AR33" s="120">
        <f t="shared" si="20"/>
        <v>0</v>
      </c>
      <c r="AS33" s="120">
        <f t="shared" si="11"/>
        <v>0</v>
      </c>
      <c r="AT33" s="120">
        <f t="shared" si="12"/>
        <v>0</v>
      </c>
      <c r="AU33" s="120">
        <f t="shared" si="21"/>
        <v>0</v>
      </c>
      <c r="AV33" s="120">
        <f t="shared" si="13"/>
        <v>0</v>
      </c>
      <c r="AW33" s="120">
        <f t="shared" si="14"/>
        <v>0</v>
      </c>
      <c r="AX33" s="120" t="str">
        <f t="shared" si="15"/>
        <v/>
      </c>
      <c r="AY33" s="120"/>
      <c r="AZ33" s="120"/>
      <c r="BA33" s="116"/>
      <c r="BB33" s="699">
        <f t="shared" si="22"/>
        <v>0</v>
      </c>
      <c r="BC33" s="699">
        <f t="shared" si="39"/>
        <v>0</v>
      </c>
      <c r="BD33" s="116"/>
      <c r="BE33" s="530" t="str">
        <f t="shared" si="23"/>
        <v/>
      </c>
      <c r="BF33" s="120">
        <f t="shared" si="24"/>
        <v>0</v>
      </c>
      <c r="BG33" s="120" t="str">
        <f t="shared" si="25"/>
        <v/>
      </c>
      <c r="BH33" s="120"/>
      <c r="BI33" s="120">
        <f t="shared" si="26"/>
        <v>0</v>
      </c>
      <c r="BJ33" s="268">
        <f t="shared" si="27"/>
        <v>0</v>
      </c>
      <c r="BK33" s="120">
        <f t="shared" si="28"/>
        <v>0</v>
      </c>
      <c r="BL33" s="120" t="str">
        <f t="shared" si="29"/>
        <v/>
      </c>
      <c r="BM33" s="266">
        <f t="shared" si="30"/>
        <v>0</v>
      </c>
      <c r="BN33" s="266">
        <f t="shared" si="31"/>
        <v>0</v>
      </c>
      <c r="BO33" s="266">
        <f t="shared" si="32"/>
        <v>0</v>
      </c>
      <c r="BP33" s="266" t="str">
        <f>IF(J33="","",(J33*Prezzi!$E$31)+L33)</f>
        <v/>
      </c>
      <c r="BQ33" s="120">
        <f t="shared" si="33"/>
        <v>0</v>
      </c>
      <c r="BR33" s="564">
        <f t="shared" si="34"/>
        <v>0</v>
      </c>
      <c r="BS33" s="120">
        <f t="shared" si="35"/>
        <v>0</v>
      </c>
      <c r="CA33"/>
    </row>
    <row r="34" spans="1:79" x14ac:dyDescent="0.15">
      <c r="A34" s="307">
        <v>31</v>
      </c>
      <c r="B34" s="282"/>
      <c r="C34" s="645"/>
      <c r="D34" s="646"/>
      <c r="E34" s="647"/>
      <c r="F34" s="645"/>
      <c r="G34" s="646"/>
      <c r="H34" s="647"/>
      <c r="I34" s="282"/>
      <c r="J34" s="795"/>
      <c r="K34" s="796"/>
      <c r="L34" s="784"/>
      <c r="M34" s="785"/>
      <c r="N34" s="786"/>
      <c r="O34" s="282"/>
      <c r="P34" s="610"/>
      <c r="Q34" s="362">
        <f t="shared" si="36"/>
        <v>0</v>
      </c>
      <c r="R34" s="363"/>
      <c r="S34" s="232">
        <f t="shared" si="17"/>
        <v>0</v>
      </c>
      <c r="T34" s="233"/>
      <c r="U34" s="233"/>
      <c r="V34" s="385" t="str">
        <f>IF(J34="","",IF(C34="Acquisti",F34,(Z34*Prezzi!$E$31)+L34))</f>
        <v/>
      </c>
      <c r="W34" s="431"/>
      <c r="X34" s="386"/>
      <c r="Y34" s="488" t="str">
        <f t="shared" si="37"/>
        <v/>
      </c>
      <c r="Z34" s="452">
        <f t="shared" si="1"/>
        <v>0</v>
      </c>
      <c r="AB34" s="266">
        <f t="shared" si="18"/>
        <v>0</v>
      </c>
      <c r="AC34" s="120">
        <f t="shared" si="2"/>
        <v>0</v>
      </c>
      <c r="AD34" s="122">
        <v>1</v>
      </c>
      <c r="AE34" s="120">
        <f>IF(C34=0,0,SUMIF(C34:C$53,C34,AD34:AD$53))</f>
        <v>0</v>
      </c>
      <c r="AF34" s="120">
        <f t="shared" si="3"/>
        <v>0</v>
      </c>
      <c r="AG34" s="120">
        <f t="shared" si="19"/>
        <v>0</v>
      </c>
      <c r="AH34" s="120">
        <f t="shared" si="4"/>
        <v>0</v>
      </c>
      <c r="AI34" s="120">
        <f t="shared" si="5"/>
        <v>0</v>
      </c>
      <c r="AJ34" s="120">
        <f t="shared" si="38"/>
        <v>0</v>
      </c>
      <c r="AK34" s="526">
        <f t="shared" si="7"/>
        <v>0</v>
      </c>
      <c r="AL34" s="120">
        <f t="shared" si="8"/>
        <v>0</v>
      </c>
      <c r="AM34" s="120" t="str">
        <f t="shared" si="9"/>
        <v/>
      </c>
      <c r="AN34" s="120"/>
      <c r="AP34" s="120">
        <f>IF(F34=0,0,SUMIF(F34:F$53,F34,AD34:AD$53))</f>
        <v>0</v>
      </c>
      <c r="AQ34" s="120">
        <f t="shared" si="10"/>
        <v>0</v>
      </c>
      <c r="AR34" s="120">
        <f t="shared" si="20"/>
        <v>0</v>
      </c>
      <c r="AS34" s="120">
        <f t="shared" si="11"/>
        <v>0</v>
      </c>
      <c r="AT34" s="120">
        <f t="shared" si="12"/>
        <v>0</v>
      </c>
      <c r="AU34" s="120">
        <f t="shared" si="21"/>
        <v>0</v>
      </c>
      <c r="AV34" s="120">
        <f t="shared" si="13"/>
        <v>0</v>
      </c>
      <c r="AW34" s="120">
        <f t="shared" si="14"/>
        <v>0</v>
      </c>
      <c r="AX34" s="120" t="str">
        <f t="shared" si="15"/>
        <v/>
      </c>
      <c r="AY34" s="120"/>
      <c r="AZ34" s="120"/>
      <c r="BA34" s="116"/>
      <c r="BB34" s="699">
        <f t="shared" si="22"/>
        <v>0</v>
      </c>
      <c r="BC34" s="699">
        <f t="shared" si="39"/>
        <v>0</v>
      </c>
      <c r="BD34" s="116"/>
      <c r="BE34" s="530" t="str">
        <f t="shared" si="23"/>
        <v/>
      </c>
      <c r="BF34" s="120">
        <f t="shared" si="24"/>
        <v>0</v>
      </c>
      <c r="BG34" s="120" t="str">
        <f t="shared" si="25"/>
        <v/>
      </c>
      <c r="BH34" s="120"/>
      <c r="BI34" s="120">
        <f t="shared" si="26"/>
        <v>0</v>
      </c>
      <c r="BJ34" s="268">
        <f t="shared" si="27"/>
        <v>0</v>
      </c>
      <c r="BK34" s="120">
        <f t="shared" si="28"/>
        <v>0</v>
      </c>
      <c r="BL34" s="120" t="str">
        <f t="shared" si="29"/>
        <v/>
      </c>
      <c r="BM34" s="266">
        <f t="shared" si="30"/>
        <v>0</v>
      </c>
      <c r="BN34" s="266">
        <f t="shared" si="31"/>
        <v>0</v>
      </c>
      <c r="BO34" s="266">
        <f t="shared" si="32"/>
        <v>0</v>
      </c>
      <c r="BP34" s="266" t="str">
        <f>IF(J34="","",(J34*Prezzi!$E$31)+L34)</f>
        <v/>
      </c>
      <c r="BQ34" s="120">
        <f t="shared" si="33"/>
        <v>0</v>
      </c>
      <c r="BR34" s="564">
        <f t="shared" si="34"/>
        <v>0</v>
      </c>
      <c r="BS34" s="120">
        <f t="shared" si="35"/>
        <v>0</v>
      </c>
      <c r="CA34"/>
    </row>
    <row r="35" spans="1:79" x14ac:dyDescent="0.15">
      <c r="A35" s="307">
        <v>32</v>
      </c>
      <c r="B35" s="282"/>
      <c r="C35" s="645"/>
      <c r="D35" s="646"/>
      <c r="E35" s="647"/>
      <c r="F35" s="645"/>
      <c r="G35" s="646"/>
      <c r="H35" s="647"/>
      <c r="I35" s="282"/>
      <c r="J35" s="795"/>
      <c r="K35" s="796"/>
      <c r="L35" s="784"/>
      <c r="M35" s="785"/>
      <c r="N35" s="786"/>
      <c r="O35" s="282"/>
      <c r="P35" s="610"/>
      <c r="Q35" s="362">
        <f t="shared" si="36"/>
        <v>0</v>
      </c>
      <c r="R35" s="363"/>
      <c r="S35" s="232">
        <f t="shared" si="17"/>
        <v>0</v>
      </c>
      <c r="T35" s="233"/>
      <c r="U35" s="233"/>
      <c r="V35" s="385" t="str">
        <f>IF(J35="","",IF(C35="Acquisti",F35,(Z35*Prezzi!$E$31)+L35))</f>
        <v/>
      </c>
      <c r="W35" s="431"/>
      <c r="X35" s="386"/>
      <c r="Y35" s="488" t="str">
        <f t="shared" si="37"/>
        <v/>
      </c>
      <c r="Z35" s="452">
        <f t="shared" si="1"/>
        <v>0</v>
      </c>
      <c r="AB35" s="266">
        <f t="shared" si="18"/>
        <v>0</v>
      </c>
      <c r="AC35" s="120">
        <f t="shared" si="2"/>
        <v>0</v>
      </c>
      <c r="AD35" s="122">
        <v>1</v>
      </c>
      <c r="AE35" s="120">
        <f>IF(C35=0,0,SUMIF(C35:C$53,C35,AD35:AD$53))</f>
        <v>0</v>
      </c>
      <c r="AF35" s="120">
        <f t="shared" si="3"/>
        <v>0</v>
      </c>
      <c r="AG35" s="120">
        <f t="shared" si="19"/>
        <v>0</v>
      </c>
      <c r="AH35" s="120">
        <f t="shared" si="4"/>
        <v>0</v>
      </c>
      <c r="AI35" s="120">
        <f t="shared" si="5"/>
        <v>0</v>
      </c>
      <c r="AJ35" s="120">
        <f t="shared" si="38"/>
        <v>0</v>
      </c>
      <c r="AK35" s="526">
        <f t="shared" si="7"/>
        <v>0</v>
      </c>
      <c r="AL35" s="120">
        <f t="shared" si="8"/>
        <v>0</v>
      </c>
      <c r="AM35" s="120" t="str">
        <f t="shared" si="9"/>
        <v/>
      </c>
      <c r="AN35" s="120"/>
      <c r="AP35" s="120">
        <f>IF(F35=0,0,SUMIF(F35:F$53,F35,AD35:AD$53))</f>
        <v>0</v>
      </c>
      <c r="AQ35" s="120">
        <f t="shared" si="10"/>
        <v>0</v>
      </c>
      <c r="AR35" s="120">
        <f t="shared" si="20"/>
        <v>0</v>
      </c>
      <c r="AS35" s="120">
        <f t="shared" si="11"/>
        <v>0</v>
      </c>
      <c r="AT35" s="120">
        <f t="shared" si="12"/>
        <v>0</v>
      </c>
      <c r="AU35" s="120">
        <f t="shared" si="21"/>
        <v>0</v>
      </c>
      <c r="AV35" s="120">
        <f t="shared" si="13"/>
        <v>0</v>
      </c>
      <c r="AW35" s="120">
        <f t="shared" si="14"/>
        <v>0</v>
      </c>
      <c r="AX35" s="120" t="str">
        <f t="shared" si="15"/>
        <v/>
      </c>
      <c r="AY35" s="120"/>
      <c r="AZ35" s="120"/>
      <c r="BA35" s="116"/>
      <c r="BB35" s="699">
        <f t="shared" si="22"/>
        <v>0</v>
      </c>
      <c r="BC35" s="699">
        <f t="shared" si="39"/>
        <v>0</v>
      </c>
      <c r="BD35" s="116"/>
      <c r="BE35" s="530" t="str">
        <f t="shared" si="23"/>
        <v/>
      </c>
      <c r="BF35" s="120">
        <f t="shared" si="24"/>
        <v>0</v>
      </c>
      <c r="BG35" s="120" t="str">
        <f t="shared" si="25"/>
        <v/>
      </c>
      <c r="BH35" s="120"/>
      <c r="BI35" s="120">
        <f t="shared" si="26"/>
        <v>0</v>
      </c>
      <c r="BJ35" s="268">
        <f t="shared" si="27"/>
        <v>0</v>
      </c>
      <c r="BK35" s="120">
        <f t="shared" si="28"/>
        <v>0</v>
      </c>
      <c r="BL35" s="120" t="str">
        <f t="shared" si="29"/>
        <v/>
      </c>
      <c r="BM35" s="266">
        <f t="shared" si="30"/>
        <v>0</v>
      </c>
      <c r="BN35" s="266">
        <f t="shared" si="31"/>
        <v>0</v>
      </c>
      <c r="BO35" s="266">
        <f t="shared" si="32"/>
        <v>0</v>
      </c>
      <c r="BP35" s="266" t="str">
        <f>IF(J35="","",(J35*Prezzi!$E$31)+L35)</f>
        <v/>
      </c>
      <c r="BQ35" s="120">
        <f t="shared" si="33"/>
        <v>0</v>
      </c>
      <c r="BR35" s="564">
        <f t="shared" si="34"/>
        <v>0</v>
      </c>
      <c r="BS35" s="120">
        <f t="shared" si="35"/>
        <v>0</v>
      </c>
      <c r="CA35"/>
    </row>
    <row r="36" spans="1:79" x14ac:dyDescent="0.15">
      <c r="A36" s="307">
        <v>33</v>
      </c>
      <c r="B36" s="282"/>
      <c r="C36" s="645"/>
      <c r="D36" s="646"/>
      <c r="E36" s="647"/>
      <c r="F36" s="645"/>
      <c r="G36" s="646"/>
      <c r="H36" s="647"/>
      <c r="I36" s="282"/>
      <c r="J36" s="795"/>
      <c r="K36" s="796"/>
      <c r="L36" s="784"/>
      <c r="M36" s="785"/>
      <c r="N36" s="786"/>
      <c r="O36" s="282"/>
      <c r="P36" s="610"/>
      <c r="Q36" s="362">
        <f t="shared" si="36"/>
        <v>0</v>
      </c>
      <c r="R36" s="363"/>
      <c r="S36" s="232">
        <f t="shared" si="17"/>
        <v>0</v>
      </c>
      <c r="T36" s="233"/>
      <c r="U36" s="233"/>
      <c r="V36" s="385" t="str">
        <f>IF(J36="","",IF(C36="Acquisti",F36,(Z36*Prezzi!$E$31)+L36))</f>
        <v/>
      </c>
      <c r="W36" s="431"/>
      <c r="X36" s="386"/>
      <c r="Y36" s="488" t="str">
        <f t="shared" si="37"/>
        <v/>
      </c>
      <c r="Z36" s="452">
        <f t="shared" ref="Z36:Z53" si="40">AB146</f>
        <v>0</v>
      </c>
      <c r="AB36" s="266">
        <f t="shared" si="18"/>
        <v>0</v>
      </c>
      <c r="AC36" s="120">
        <f t="shared" ref="AC36:AC53" si="41">SUM(AW146:BA146)</f>
        <v>0</v>
      </c>
      <c r="AD36" s="122">
        <v>1</v>
      </c>
      <c r="AE36" s="120">
        <f>IF(C36=0,0,SUMIF(C36:C$53,C36,AD36:AD$53))</f>
        <v>0</v>
      </c>
      <c r="AF36" s="120">
        <f t="shared" ref="AF36:AF53" si="42">IF(C36=0,0,SUMIF(C$4:C$53,C36,AD$4:AD$53))</f>
        <v>0</v>
      </c>
      <c r="AG36" s="120">
        <f t="shared" si="19"/>
        <v>0</v>
      </c>
      <c r="AH36" s="120">
        <f t="shared" ref="AH36:AH53" si="43">IF(C36="",0,IF(OR(AE36=AG36,AG36=0),A36,0))</f>
        <v>0</v>
      </c>
      <c r="AI36" s="120">
        <f t="shared" ref="AI36:AI53" si="44">IF(C36="",AI35,IF(OR(AE36=AG36,AG36=0),1,0)+AI35)</f>
        <v>0</v>
      </c>
      <c r="AJ36" s="120">
        <f t="shared" si="38"/>
        <v>0</v>
      </c>
      <c r="AK36" s="526">
        <f t="shared" ref="AK36:AK53" si="45">SUMIF(AJ$4:AJ$53,A36,AJ$4:AJ$53)</f>
        <v>0</v>
      </c>
      <c r="AL36" s="120">
        <f t="shared" ref="AL36:AL53" si="46">SUMIF(AI$4:AI$53,AK36,AH$4:AH$53)</f>
        <v>0</v>
      </c>
      <c r="AM36" s="120" t="str">
        <f t="shared" ref="AM36:AM53" si="47">IF(AK36=0,"",LOOKUP(AL36,A$4:A$53,C$4:C$53))</f>
        <v/>
      </c>
      <c r="AN36" s="120"/>
      <c r="AP36" s="120">
        <f>IF(F36=0,0,SUMIF(F36:F$53,F36,AD36:AD$53))</f>
        <v>0</v>
      </c>
      <c r="AQ36" s="120">
        <f t="shared" ref="AQ36:AQ53" si="48">IF(F36=0,0,SUMIF(F$4:F$53,F36,AD$4:AD$53))</f>
        <v>0</v>
      </c>
      <c r="AR36" s="120">
        <f t="shared" si="20"/>
        <v>0</v>
      </c>
      <c r="AS36" s="120">
        <f t="shared" ref="AS36:AS53" si="49">IF(F36="",0,IF(OR(AP36=AR36,AR36=0),A36,0))</f>
        <v>0</v>
      </c>
      <c r="AT36" s="120">
        <f t="shared" ref="AT36:AT53" si="50">IF(F36="",AT35,IF(OR(AP36=AR36,AR36=0),1,0)+AT35)</f>
        <v>0</v>
      </c>
      <c r="AU36" s="120">
        <f t="shared" si="21"/>
        <v>0</v>
      </c>
      <c r="AV36" s="120">
        <f t="shared" ref="AV36:AV53" si="51">SUMIF(AU$4:AU$53,A36,AU$4:AU$53)</f>
        <v>0</v>
      </c>
      <c r="AW36" s="120">
        <f t="shared" ref="AW36:AW53" si="52">SUMIF(AT$4:AT$53,AV36,AS$4:AS$53)</f>
        <v>0</v>
      </c>
      <c r="AX36" s="120" t="str">
        <f t="shared" ref="AX36:AX53" si="53">IF(AV36=0,"",LOOKUP(AW36,A$4:A$53,F$4:F$53))</f>
        <v/>
      </c>
      <c r="AY36" s="120"/>
      <c r="AZ36" s="120"/>
      <c r="BA36" s="116"/>
      <c r="BB36" s="699">
        <f t="shared" si="22"/>
        <v>0</v>
      </c>
      <c r="BC36" s="699">
        <f t="shared" si="39"/>
        <v>0</v>
      </c>
      <c r="BD36" s="116"/>
      <c r="BE36" s="530" t="str">
        <f t="shared" si="23"/>
        <v/>
      </c>
      <c r="BF36" s="120">
        <f t="shared" si="24"/>
        <v>0</v>
      </c>
      <c r="BG36" s="120" t="str">
        <f t="shared" si="25"/>
        <v/>
      </c>
      <c r="BH36" s="120"/>
      <c r="BI36" s="120">
        <f t="shared" ref="BI36:BI53" si="54">SUMIF(C$4:C$53,BG36,O$4:O$53)</f>
        <v>0</v>
      </c>
      <c r="BJ36" s="268">
        <f t="shared" si="27"/>
        <v>0</v>
      </c>
      <c r="BK36" s="120">
        <f t="shared" ref="BK36:BK53" si="55">SUMIF(C$4:C$53,BG36,AC$4:AC$53)</f>
        <v>0</v>
      </c>
      <c r="BL36" s="120" t="str">
        <f t="shared" si="29"/>
        <v/>
      </c>
      <c r="BM36" s="266">
        <f t="shared" ref="BM36:BM53" si="56">SUMIF(C$4:C$53,BG36,AB$4:AB$53)</f>
        <v>0</v>
      </c>
      <c r="BN36" s="266">
        <f t="shared" ref="BN36:BN53" si="57">SUMIF(C$4:C$53,BG36,BB$4:BB$53)</f>
        <v>0</v>
      </c>
      <c r="BO36" s="266">
        <f t="shared" si="32"/>
        <v>0</v>
      </c>
      <c r="BP36" s="266" t="str">
        <f>IF(J36="","",(J36*Prezzi!$E$31)+L36)</f>
        <v/>
      </c>
      <c r="BQ36" s="120">
        <f t="shared" si="33"/>
        <v>0</v>
      </c>
      <c r="BR36" s="564">
        <f t="shared" si="34"/>
        <v>0</v>
      </c>
      <c r="BS36" s="120">
        <f t="shared" si="35"/>
        <v>0</v>
      </c>
      <c r="CA36"/>
    </row>
    <row r="37" spans="1:79" x14ac:dyDescent="0.15">
      <c r="A37" s="307">
        <v>34</v>
      </c>
      <c r="B37" s="282"/>
      <c r="C37" s="645"/>
      <c r="D37" s="646"/>
      <c r="E37" s="647"/>
      <c r="F37" s="645"/>
      <c r="G37" s="646"/>
      <c r="H37" s="647"/>
      <c r="I37" s="282"/>
      <c r="J37" s="795"/>
      <c r="K37" s="796"/>
      <c r="L37" s="784"/>
      <c r="M37" s="785"/>
      <c r="N37" s="786"/>
      <c r="O37" s="282"/>
      <c r="P37" s="610"/>
      <c r="Q37" s="362">
        <f t="shared" si="36"/>
        <v>0</v>
      </c>
      <c r="R37" s="363"/>
      <c r="S37" s="232">
        <f t="shared" si="17"/>
        <v>0</v>
      </c>
      <c r="T37" s="233"/>
      <c r="U37" s="233"/>
      <c r="V37" s="385" t="str">
        <f>IF(J37="","",IF(C37="Acquisti",F37,(Z37*Prezzi!$E$31)+L37))</f>
        <v/>
      </c>
      <c r="W37" s="431"/>
      <c r="X37" s="386"/>
      <c r="Y37" s="488" t="str">
        <f t="shared" si="37"/>
        <v/>
      </c>
      <c r="Z37" s="452">
        <f t="shared" si="40"/>
        <v>0</v>
      </c>
      <c r="AB37" s="266">
        <f t="shared" si="18"/>
        <v>0</v>
      </c>
      <c r="AC37" s="120">
        <f t="shared" si="41"/>
        <v>0</v>
      </c>
      <c r="AD37" s="122">
        <v>1</v>
      </c>
      <c r="AE37" s="120">
        <f>IF(C37=0,0,SUMIF(C37:C$53,C37,AD37:AD$53))</f>
        <v>0</v>
      </c>
      <c r="AF37" s="120">
        <f t="shared" si="42"/>
        <v>0</v>
      </c>
      <c r="AG37" s="120">
        <f t="shared" si="19"/>
        <v>0</v>
      </c>
      <c r="AH37" s="120">
        <f t="shared" si="43"/>
        <v>0</v>
      </c>
      <c r="AI37" s="120">
        <f t="shared" si="44"/>
        <v>0</v>
      </c>
      <c r="AJ37" s="120">
        <f t="shared" si="38"/>
        <v>0</v>
      </c>
      <c r="AK37" s="526">
        <f t="shared" si="45"/>
        <v>0</v>
      </c>
      <c r="AL37" s="120">
        <f t="shared" si="46"/>
        <v>0</v>
      </c>
      <c r="AM37" s="120" t="str">
        <f t="shared" si="47"/>
        <v/>
      </c>
      <c r="AN37" s="120"/>
      <c r="AP37" s="120">
        <f>IF(F37=0,0,SUMIF(F37:F$53,F37,AD37:AD$53))</f>
        <v>0</v>
      </c>
      <c r="AQ37" s="120">
        <f t="shared" si="48"/>
        <v>0</v>
      </c>
      <c r="AR37" s="120">
        <f t="shared" si="20"/>
        <v>0</v>
      </c>
      <c r="AS37" s="120">
        <f t="shared" si="49"/>
        <v>0</v>
      </c>
      <c r="AT37" s="120">
        <f t="shared" si="50"/>
        <v>0</v>
      </c>
      <c r="AU37" s="120">
        <f t="shared" si="21"/>
        <v>0</v>
      </c>
      <c r="AV37" s="120">
        <f t="shared" si="51"/>
        <v>0</v>
      </c>
      <c r="AW37" s="120">
        <f t="shared" si="52"/>
        <v>0</v>
      </c>
      <c r="AX37" s="120" t="str">
        <f t="shared" si="53"/>
        <v/>
      </c>
      <c r="AY37" s="120"/>
      <c r="AZ37" s="120"/>
      <c r="BA37" s="116"/>
      <c r="BB37" s="699">
        <f t="shared" si="22"/>
        <v>0</v>
      </c>
      <c r="BC37" s="699">
        <f t="shared" si="39"/>
        <v>0</v>
      </c>
      <c r="BD37" s="116"/>
      <c r="BE37" s="530" t="str">
        <f t="shared" si="23"/>
        <v/>
      </c>
      <c r="BF37" s="120">
        <f t="shared" si="24"/>
        <v>0</v>
      </c>
      <c r="BG37" s="120" t="str">
        <f t="shared" si="25"/>
        <v/>
      </c>
      <c r="BH37" s="120"/>
      <c r="BI37" s="120">
        <f t="shared" si="54"/>
        <v>0</v>
      </c>
      <c r="BJ37" s="268">
        <f t="shared" si="27"/>
        <v>0</v>
      </c>
      <c r="BK37" s="120">
        <f t="shared" si="55"/>
        <v>0</v>
      </c>
      <c r="BL37" s="120" t="str">
        <f t="shared" si="29"/>
        <v/>
      </c>
      <c r="BM37" s="266">
        <f t="shared" si="56"/>
        <v>0</v>
      </c>
      <c r="BN37" s="266">
        <f t="shared" si="57"/>
        <v>0</v>
      </c>
      <c r="BO37" s="266">
        <f t="shared" si="32"/>
        <v>0</v>
      </c>
      <c r="BP37" s="266" t="str">
        <f>IF(J37="","",(J37*Prezzi!$E$31)+L37)</f>
        <v/>
      </c>
      <c r="BQ37" s="120">
        <f t="shared" si="33"/>
        <v>0</v>
      </c>
      <c r="BR37" s="564">
        <f t="shared" si="34"/>
        <v>0</v>
      </c>
      <c r="BS37" s="120">
        <f t="shared" si="35"/>
        <v>0</v>
      </c>
      <c r="CA37"/>
    </row>
    <row r="38" spans="1:79" x14ac:dyDescent="0.15">
      <c r="A38" s="307">
        <v>35</v>
      </c>
      <c r="B38" s="282"/>
      <c r="C38" s="645"/>
      <c r="D38" s="646"/>
      <c r="E38" s="647"/>
      <c r="F38" s="645"/>
      <c r="G38" s="646"/>
      <c r="H38" s="647"/>
      <c r="I38" s="282"/>
      <c r="J38" s="795"/>
      <c r="K38" s="796"/>
      <c r="L38" s="784"/>
      <c r="M38" s="785"/>
      <c r="N38" s="786"/>
      <c r="O38" s="282"/>
      <c r="P38" s="610"/>
      <c r="Q38" s="362">
        <f t="shared" si="36"/>
        <v>0</v>
      </c>
      <c r="R38" s="363"/>
      <c r="S38" s="232">
        <f t="shared" si="17"/>
        <v>0</v>
      </c>
      <c r="T38" s="233"/>
      <c r="U38" s="233"/>
      <c r="V38" s="385" t="str">
        <f>IF(J38="","",IF(C38="Acquisti",F38,(Z38*Prezzi!$E$31)+L38))</f>
        <v/>
      </c>
      <c r="W38" s="431"/>
      <c r="X38" s="386"/>
      <c r="Y38" s="488" t="str">
        <f t="shared" si="37"/>
        <v/>
      </c>
      <c r="Z38" s="452">
        <f t="shared" si="40"/>
        <v>0</v>
      </c>
      <c r="AB38" s="266">
        <f t="shared" si="18"/>
        <v>0</v>
      </c>
      <c r="AC38" s="120">
        <f t="shared" si="41"/>
        <v>0</v>
      </c>
      <c r="AD38" s="122">
        <v>1</v>
      </c>
      <c r="AE38" s="120">
        <f>IF(C38=0,0,SUMIF(C38:C$53,C38,AD38:AD$53))</f>
        <v>0</v>
      </c>
      <c r="AF38" s="120">
        <f t="shared" si="42"/>
        <v>0</v>
      </c>
      <c r="AG38" s="120">
        <f t="shared" si="19"/>
        <v>0</v>
      </c>
      <c r="AH38" s="120">
        <f t="shared" si="43"/>
        <v>0</v>
      </c>
      <c r="AI38" s="120">
        <f t="shared" si="44"/>
        <v>0</v>
      </c>
      <c r="AJ38" s="120">
        <f t="shared" si="38"/>
        <v>0</v>
      </c>
      <c r="AK38" s="526">
        <f t="shared" si="45"/>
        <v>0</v>
      </c>
      <c r="AL38" s="120">
        <f t="shared" si="46"/>
        <v>0</v>
      </c>
      <c r="AM38" s="120" t="str">
        <f t="shared" si="47"/>
        <v/>
      </c>
      <c r="AN38" s="120"/>
      <c r="AP38" s="120">
        <f>IF(F38=0,0,SUMIF(F38:F$53,F38,AD38:AD$53))</f>
        <v>0</v>
      </c>
      <c r="AQ38" s="120">
        <f t="shared" si="48"/>
        <v>0</v>
      </c>
      <c r="AR38" s="120">
        <f t="shared" si="20"/>
        <v>0</v>
      </c>
      <c r="AS38" s="120">
        <f t="shared" si="49"/>
        <v>0</v>
      </c>
      <c r="AT38" s="120">
        <f t="shared" si="50"/>
        <v>0</v>
      </c>
      <c r="AU38" s="120">
        <f t="shared" si="21"/>
        <v>0</v>
      </c>
      <c r="AV38" s="120">
        <f t="shared" si="51"/>
        <v>0</v>
      </c>
      <c r="AW38" s="120">
        <f t="shared" si="52"/>
        <v>0</v>
      </c>
      <c r="AX38" s="120" t="str">
        <f t="shared" si="53"/>
        <v/>
      </c>
      <c r="AY38" s="120"/>
      <c r="AZ38" s="120"/>
      <c r="BA38" s="116"/>
      <c r="BB38" s="699">
        <f t="shared" si="22"/>
        <v>0</v>
      </c>
      <c r="BC38" s="699">
        <f t="shared" si="39"/>
        <v>0</v>
      </c>
      <c r="BD38" s="116"/>
      <c r="BE38" s="530" t="str">
        <f t="shared" si="23"/>
        <v/>
      </c>
      <c r="BF38" s="120">
        <f t="shared" si="24"/>
        <v>0</v>
      </c>
      <c r="BG38" s="120" t="str">
        <f t="shared" si="25"/>
        <v/>
      </c>
      <c r="BH38" s="120"/>
      <c r="BI38" s="120">
        <f t="shared" si="54"/>
        <v>0</v>
      </c>
      <c r="BJ38" s="268">
        <f t="shared" si="27"/>
        <v>0</v>
      </c>
      <c r="BK38" s="120">
        <f t="shared" si="55"/>
        <v>0</v>
      </c>
      <c r="BL38" s="120" t="str">
        <f t="shared" si="29"/>
        <v/>
      </c>
      <c r="BM38" s="266">
        <f t="shared" si="56"/>
        <v>0</v>
      </c>
      <c r="BN38" s="266">
        <f t="shared" si="57"/>
        <v>0</v>
      </c>
      <c r="BO38" s="266">
        <f t="shared" si="32"/>
        <v>0</v>
      </c>
      <c r="BP38" s="266" t="str">
        <f>IF(J38="","",(J38*Prezzi!$E$31)+L38)</f>
        <v/>
      </c>
      <c r="BQ38" s="120">
        <f t="shared" si="33"/>
        <v>0</v>
      </c>
      <c r="BR38" s="564">
        <f t="shared" si="34"/>
        <v>0</v>
      </c>
      <c r="BS38" s="120">
        <f t="shared" si="35"/>
        <v>0</v>
      </c>
      <c r="CA38"/>
    </row>
    <row r="39" spans="1:79" x14ac:dyDescent="0.15">
      <c r="A39" s="307">
        <v>36</v>
      </c>
      <c r="B39" s="282"/>
      <c r="C39" s="645"/>
      <c r="D39" s="646"/>
      <c r="E39" s="647"/>
      <c r="F39" s="645"/>
      <c r="G39" s="646"/>
      <c r="H39" s="647"/>
      <c r="I39" s="282"/>
      <c r="J39" s="795"/>
      <c r="K39" s="796"/>
      <c r="L39" s="784"/>
      <c r="M39" s="785"/>
      <c r="N39" s="786"/>
      <c r="O39" s="282"/>
      <c r="P39" s="610"/>
      <c r="Q39" s="362">
        <f t="shared" si="36"/>
        <v>0</v>
      </c>
      <c r="R39" s="363"/>
      <c r="S39" s="232">
        <f t="shared" si="17"/>
        <v>0</v>
      </c>
      <c r="T39" s="233"/>
      <c r="U39" s="233"/>
      <c r="V39" s="385" t="str">
        <f>IF(J39="","",IF(C39="Acquisti",F39,(Z39*Prezzi!$E$31)+L39))</f>
        <v/>
      </c>
      <c r="W39" s="431"/>
      <c r="X39" s="386"/>
      <c r="Y39" s="488" t="str">
        <f t="shared" si="37"/>
        <v/>
      </c>
      <c r="Z39" s="452">
        <f t="shared" si="40"/>
        <v>0</v>
      </c>
      <c r="AB39" s="266">
        <f t="shared" si="18"/>
        <v>0</v>
      </c>
      <c r="AC39" s="120">
        <f t="shared" si="41"/>
        <v>0</v>
      </c>
      <c r="AD39" s="122">
        <v>1</v>
      </c>
      <c r="AE39" s="120">
        <f>IF(C39=0,0,SUMIF(C39:C$53,C39,AD39:AD$53))</f>
        <v>0</v>
      </c>
      <c r="AF39" s="120">
        <f t="shared" si="42"/>
        <v>0</v>
      </c>
      <c r="AG39" s="120">
        <f t="shared" si="19"/>
        <v>0</v>
      </c>
      <c r="AH39" s="120">
        <f t="shared" si="43"/>
        <v>0</v>
      </c>
      <c r="AI39" s="120">
        <f t="shared" si="44"/>
        <v>0</v>
      </c>
      <c r="AJ39" s="120">
        <f t="shared" si="38"/>
        <v>0</v>
      </c>
      <c r="AK39" s="526">
        <f t="shared" si="45"/>
        <v>0</v>
      </c>
      <c r="AL39" s="120">
        <f t="shared" si="46"/>
        <v>0</v>
      </c>
      <c r="AM39" s="120" t="str">
        <f t="shared" si="47"/>
        <v/>
      </c>
      <c r="AN39" s="120"/>
      <c r="AP39" s="120">
        <f>IF(F39=0,0,SUMIF(F39:F$53,F39,AD39:AD$53))</f>
        <v>0</v>
      </c>
      <c r="AQ39" s="120">
        <f t="shared" si="48"/>
        <v>0</v>
      </c>
      <c r="AR39" s="120">
        <f t="shared" si="20"/>
        <v>0</v>
      </c>
      <c r="AS39" s="120">
        <f t="shared" si="49"/>
        <v>0</v>
      </c>
      <c r="AT39" s="120">
        <f t="shared" si="50"/>
        <v>0</v>
      </c>
      <c r="AU39" s="120">
        <f t="shared" si="21"/>
        <v>0</v>
      </c>
      <c r="AV39" s="120">
        <f t="shared" si="51"/>
        <v>0</v>
      </c>
      <c r="AW39" s="120">
        <f t="shared" si="52"/>
        <v>0</v>
      </c>
      <c r="AX39" s="120" t="str">
        <f t="shared" si="53"/>
        <v/>
      </c>
      <c r="AY39" s="120"/>
      <c r="AZ39" s="120"/>
      <c r="BA39" s="116"/>
      <c r="BB39" s="699">
        <f t="shared" si="22"/>
        <v>0</v>
      </c>
      <c r="BC39" s="699">
        <f t="shared" si="39"/>
        <v>0</v>
      </c>
      <c r="BD39" s="116"/>
      <c r="BE39" s="530" t="str">
        <f t="shared" si="23"/>
        <v/>
      </c>
      <c r="BF39" s="120">
        <f t="shared" si="24"/>
        <v>0</v>
      </c>
      <c r="BG39" s="120" t="str">
        <f t="shared" si="25"/>
        <v/>
      </c>
      <c r="BH39" s="120"/>
      <c r="BI39" s="120">
        <f t="shared" si="54"/>
        <v>0</v>
      </c>
      <c r="BJ39" s="268">
        <f t="shared" si="27"/>
        <v>0</v>
      </c>
      <c r="BK39" s="120">
        <f t="shared" si="55"/>
        <v>0</v>
      </c>
      <c r="BL39" s="120" t="str">
        <f t="shared" si="29"/>
        <v/>
      </c>
      <c r="BM39" s="266">
        <f t="shared" si="56"/>
        <v>0</v>
      </c>
      <c r="BN39" s="266">
        <f t="shared" si="57"/>
        <v>0</v>
      </c>
      <c r="BO39" s="266">
        <f t="shared" si="32"/>
        <v>0</v>
      </c>
      <c r="BP39" s="266" t="str">
        <f>IF(J39="","",(J39*Prezzi!$E$31)+L39)</f>
        <v/>
      </c>
      <c r="BQ39" s="120">
        <f t="shared" si="33"/>
        <v>0</v>
      </c>
      <c r="BR39" s="564">
        <f t="shared" si="34"/>
        <v>0</v>
      </c>
      <c r="BS39" s="120">
        <f t="shared" si="35"/>
        <v>0</v>
      </c>
      <c r="CA39"/>
    </row>
    <row r="40" spans="1:79" x14ac:dyDescent="0.15">
      <c r="A40" s="307">
        <v>37</v>
      </c>
      <c r="B40" s="282"/>
      <c r="C40" s="645"/>
      <c r="D40" s="646"/>
      <c r="E40" s="647"/>
      <c r="F40" s="645"/>
      <c r="G40" s="646"/>
      <c r="H40" s="647"/>
      <c r="I40" s="282"/>
      <c r="J40" s="795"/>
      <c r="K40" s="796"/>
      <c r="L40" s="784"/>
      <c r="M40" s="785"/>
      <c r="N40" s="786"/>
      <c r="O40" s="282"/>
      <c r="P40" s="610"/>
      <c r="Q40" s="362">
        <f t="shared" si="36"/>
        <v>0</v>
      </c>
      <c r="R40" s="363"/>
      <c r="S40" s="232">
        <f t="shared" si="17"/>
        <v>0</v>
      </c>
      <c r="T40" s="233"/>
      <c r="U40" s="233"/>
      <c r="V40" s="385" t="str">
        <f>IF(J40="","",IF(C40="Acquisti",F40,(Z40*Prezzi!$E$31)+L40))</f>
        <v/>
      </c>
      <c r="W40" s="431"/>
      <c r="X40" s="386"/>
      <c r="Y40" s="488" t="str">
        <f t="shared" si="37"/>
        <v/>
      </c>
      <c r="Z40" s="452">
        <f t="shared" si="40"/>
        <v>0</v>
      </c>
      <c r="AB40" s="266">
        <f t="shared" si="18"/>
        <v>0</v>
      </c>
      <c r="AC40" s="120">
        <f t="shared" si="41"/>
        <v>0</v>
      </c>
      <c r="AD40" s="122">
        <v>1</v>
      </c>
      <c r="AE40" s="120">
        <f>IF(C40=0,0,SUMIF(C40:C$53,C40,AD40:AD$53))</f>
        <v>0</v>
      </c>
      <c r="AF40" s="120">
        <f t="shared" si="42"/>
        <v>0</v>
      </c>
      <c r="AG40" s="120">
        <f t="shared" si="19"/>
        <v>0</v>
      </c>
      <c r="AH40" s="120">
        <f t="shared" si="43"/>
        <v>0</v>
      </c>
      <c r="AI40" s="120">
        <f t="shared" si="44"/>
        <v>0</v>
      </c>
      <c r="AJ40" s="120">
        <f t="shared" si="38"/>
        <v>0</v>
      </c>
      <c r="AK40" s="526">
        <f t="shared" si="45"/>
        <v>0</v>
      </c>
      <c r="AL40" s="120">
        <f t="shared" si="46"/>
        <v>0</v>
      </c>
      <c r="AM40" s="120" t="str">
        <f t="shared" si="47"/>
        <v/>
      </c>
      <c r="AN40" s="120"/>
      <c r="AP40" s="120">
        <f>IF(F40=0,0,SUMIF(F40:F$53,F40,AD40:AD$53))</f>
        <v>0</v>
      </c>
      <c r="AQ40" s="120">
        <f t="shared" si="48"/>
        <v>0</v>
      </c>
      <c r="AR40" s="120">
        <f t="shared" si="20"/>
        <v>0</v>
      </c>
      <c r="AS40" s="120">
        <f t="shared" si="49"/>
        <v>0</v>
      </c>
      <c r="AT40" s="120">
        <f t="shared" si="50"/>
        <v>0</v>
      </c>
      <c r="AU40" s="120">
        <f t="shared" si="21"/>
        <v>0</v>
      </c>
      <c r="AV40" s="120">
        <f t="shared" si="51"/>
        <v>0</v>
      </c>
      <c r="AW40" s="120">
        <f t="shared" si="52"/>
        <v>0</v>
      </c>
      <c r="AX40" s="120" t="str">
        <f t="shared" si="53"/>
        <v/>
      </c>
      <c r="AY40" s="120"/>
      <c r="AZ40" s="120"/>
      <c r="BA40" s="116"/>
      <c r="BB40" s="699">
        <f t="shared" si="22"/>
        <v>0</v>
      </c>
      <c r="BC40" s="699">
        <f t="shared" si="39"/>
        <v>0</v>
      </c>
      <c r="BD40" s="116"/>
      <c r="BE40" s="530" t="str">
        <f t="shared" si="23"/>
        <v/>
      </c>
      <c r="BF40" s="120">
        <f t="shared" si="24"/>
        <v>0</v>
      </c>
      <c r="BG40" s="120" t="str">
        <f t="shared" si="25"/>
        <v/>
      </c>
      <c r="BH40" s="120"/>
      <c r="BI40" s="120">
        <f t="shared" si="54"/>
        <v>0</v>
      </c>
      <c r="BJ40" s="268">
        <f t="shared" si="27"/>
        <v>0</v>
      </c>
      <c r="BK40" s="120">
        <f t="shared" si="55"/>
        <v>0</v>
      </c>
      <c r="BL40" s="120" t="str">
        <f t="shared" si="29"/>
        <v/>
      </c>
      <c r="BM40" s="266">
        <f t="shared" si="56"/>
        <v>0</v>
      </c>
      <c r="BN40" s="266">
        <f t="shared" si="57"/>
        <v>0</v>
      </c>
      <c r="BO40" s="266">
        <f t="shared" si="32"/>
        <v>0</v>
      </c>
      <c r="BP40" s="266" t="str">
        <f>IF(J40="","",(J40*Prezzi!$E$31)+L40)</f>
        <v/>
      </c>
      <c r="BQ40" s="120">
        <f t="shared" si="33"/>
        <v>0</v>
      </c>
      <c r="BR40" s="564">
        <f t="shared" si="34"/>
        <v>0</v>
      </c>
      <c r="BS40" s="120">
        <f t="shared" si="35"/>
        <v>0</v>
      </c>
      <c r="CA40"/>
    </row>
    <row r="41" spans="1:79" x14ac:dyDescent="0.15">
      <c r="A41" s="307">
        <v>38</v>
      </c>
      <c r="B41" s="282"/>
      <c r="C41" s="645"/>
      <c r="D41" s="646"/>
      <c r="E41" s="647"/>
      <c r="F41" s="645"/>
      <c r="G41" s="646"/>
      <c r="H41" s="647"/>
      <c r="I41" s="282"/>
      <c r="J41" s="795"/>
      <c r="K41" s="796"/>
      <c r="L41" s="784"/>
      <c r="M41" s="785"/>
      <c r="N41" s="786"/>
      <c r="O41" s="282"/>
      <c r="P41" s="610"/>
      <c r="Q41" s="362">
        <f t="shared" si="36"/>
        <v>0</v>
      </c>
      <c r="R41" s="363"/>
      <c r="S41" s="232">
        <f t="shared" si="17"/>
        <v>0</v>
      </c>
      <c r="T41" s="233"/>
      <c r="U41" s="233"/>
      <c r="V41" s="385" t="str">
        <f>IF(J41="","",IF(C41="Acquisti",F41,(Z41*Prezzi!$E$31)+L41))</f>
        <v/>
      </c>
      <c r="W41" s="431"/>
      <c r="X41" s="386"/>
      <c r="Y41" s="488" t="str">
        <f t="shared" si="37"/>
        <v/>
      </c>
      <c r="Z41" s="452">
        <f t="shared" si="40"/>
        <v>0</v>
      </c>
      <c r="AB41" s="266">
        <f t="shared" si="18"/>
        <v>0</v>
      </c>
      <c r="AC41" s="120">
        <f t="shared" si="41"/>
        <v>0</v>
      </c>
      <c r="AD41" s="122">
        <v>1</v>
      </c>
      <c r="AE41" s="120">
        <f>IF(C41=0,0,SUMIF(C41:C$53,C41,AD41:AD$53))</f>
        <v>0</v>
      </c>
      <c r="AF41" s="120">
        <f t="shared" si="42"/>
        <v>0</v>
      </c>
      <c r="AG41" s="120">
        <f t="shared" si="19"/>
        <v>0</v>
      </c>
      <c r="AH41" s="120">
        <f t="shared" si="43"/>
        <v>0</v>
      </c>
      <c r="AI41" s="120">
        <f t="shared" si="44"/>
        <v>0</v>
      </c>
      <c r="AJ41" s="120">
        <f t="shared" si="38"/>
        <v>0</v>
      </c>
      <c r="AK41" s="526">
        <f t="shared" si="45"/>
        <v>0</v>
      </c>
      <c r="AL41" s="120">
        <f t="shared" si="46"/>
        <v>0</v>
      </c>
      <c r="AM41" s="120" t="str">
        <f t="shared" si="47"/>
        <v/>
      </c>
      <c r="AN41" s="120"/>
      <c r="AP41" s="120">
        <f>IF(F41=0,0,SUMIF(F41:F$53,F41,AD41:AD$53))</f>
        <v>0</v>
      </c>
      <c r="AQ41" s="120">
        <f t="shared" si="48"/>
        <v>0</v>
      </c>
      <c r="AR41" s="120">
        <f t="shared" si="20"/>
        <v>0</v>
      </c>
      <c r="AS41" s="120">
        <f t="shared" si="49"/>
        <v>0</v>
      </c>
      <c r="AT41" s="120">
        <f t="shared" si="50"/>
        <v>0</v>
      </c>
      <c r="AU41" s="120">
        <f t="shared" si="21"/>
        <v>0</v>
      </c>
      <c r="AV41" s="120">
        <f t="shared" si="51"/>
        <v>0</v>
      </c>
      <c r="AW41" s="120">
        <f t="shared" si="52"/>
        <v>0</v>
      </c>
      <c r="AX41" s="120" t="str">
        <f t="shared" si="53"/>
        <v/>
      </c>
      <c r="AY41" s="120"/>
      <c r="AZ41" s="120"/>
      <c r="BA41" s="116"/>
      <c r="BB41" s="699">
        <f t="shared" si="22"/>
        <v>0</v>
      </c>
      <c r="BC41" s="699">
        <f t="shared" si="39"/>
        <v>0</v>
      </c>
      <c r="BD41" s="116"/>
      <c r="BE41" s="530" t="str">
        <f t="shared" si="23"/>
        <v/>
      </c>
      <c r="BF41" s="120">
        <f t="shared" si="24"/>
        <v>0</v>
      </c>
      <c r="BG41" s="120" t="str">
        <f t="shared" si="25"/>
        <v/>
      </c>
      <c r="BH41" s="120"/>
      <c r="BI41" s="120">
        <f t="shared" si="54"/>
        <v>0</v>
      </c>
      <c r="BJ41" s="268">
        <f t="shared" si="27"/>
        <v>0</v>
      </c>
      <c r="BK41" s="120">
        <f t="shared" si="55"/>
        <v>0</v>
      </c>
      <c r="BL41" s="120" t="str">
        <f t="shared" si="29"/>
        <v/>
      </c>
      <c r="BM41" s="266">
        <f t="shared" si="56"/>
        <v>0</v>
      </c>
      <c r="BN41" s="266">
        <f t="shared" si="57"/>
        <v>0</v>
      </c>
      <c r="BO41" s="266">
        <f t="shared" si="32"/>
        <v>0</v>
      </c>
      <c r="BP41" s="266" t="str">
        <f>IF(J41="","",(J41*Prezzi!$E$31)+L41)</f>
        <v/>
      </c>
      <c r="BQ41" s="120">
        <f t="shared" si="33"/>
        <v>0</v>
      </c>
      <c r="BR41" s="564">
        <f t="shared" si="34"/>
        <v>0</v>
      </c>
      <c r="BS41" s="120">
        <f t="shared" si="35"/>
        <v>0</v>
      </c>
      <c r="CA41"/>
    </row>
    <row r="42" spans="1:79" x14ac:dyDescent="0.15">
      <c r="A42" s="307">
        <v>39</v>
      </c>
      <c r="B42" s="282"/>
      <c r="C42" s="645"/>
      <c r="D42" s="646"/>
      <c r="E42" s="647"/>
      <c r="F42" s="645"/>
      <c r="G42" s="646"/>
      <c r="H42" s="647"/>
      <c r="I42" s="282"/>
      <c r="J42" s="795"/>
      <c r="K42" s="796"/>
      <c r="L42" s="784"/>
      <c r="M42" s="785"/>
      <c r="N42" s="786"/>
      <c r="O42" s="282"/>
      <c r="P42" s="610"/>
      <c r="Q42" s="362">
        <f t="shared" si="36"/>
        <v>0</v>
      </c>
      <c r="R42" s="363"/>
      <c r="S42" s="232">
        <f t="shared" si="17"/>
        <v>0</v>
      </c>
      <c r="T42" s="233"/>
      <c r="U42" s="233"/>
      <c r="V42" s="385" t="str">
        <f>IF(J42="","",IF(C42="Acquisti",F42,(Z42*Prezzi!$E$31)+L42))</f>
        <v/>
      </c>
      <c r="W42" s="431"/>
      <c r="X42" s="386"/>
      <c r="Y42" s="488" t="str">
        <f t="shared" si="37"/>
        <v/>
      </c>
      <c r="Z42" s="452">
        <f t="shared" si="40"/>
        <v>0</v>
      </c>
      <c r="AB42" s="266">
        <f t="shared" si="18"/>
        <v>0</v>
      </c>
      <c r="AC42" s="120">
        <f t="shared" si="41"/>
        <v>0</v>
      </c>
      <c r="AD42" s="122">
        <v>1</v>
      </c>
      <c r="AE42" s="120">
        <f>IF(C42=0,0,SUMIF(C42:C$53,C42,AD42:AD$53))</f>
        <v>0</v>
      </c>
      <c r="AF42" s="120">
        <f t="shared" si="42"/>
        <v>0</v>
      </c>
      <c r="AG42" s="120">
        <f t="shared" si="19"/>
        <v>0</v>
      </c>
      <c r="AH42" s="120">
        <f t="shared" si="43"/>
        <v>0</v>
      </c>
      <c r="AI42" s="120">
        <f t="shared" si="44"/>
        <v>0</v>
      </c>
      <c r="AJ42" s="120">
        <f t="shared" si="38"/>
        <v>0</v>
      </c>
      <c r="AK42" s="526">
        <f t="shared" si="45"/>
        <v>0</v>
      </c>
      <c r="AL42" s="120">
        <f t="shared" si="46"/>
        <v>0</v>
      </c>
      <c r="AM42" s="120" t="str">
        <f t="shared" si="47"/>
        <v/>
      </c>
      <c r="AN42" s="120"/>
      <c r="AP42" s="120">
        <f>IF(F42=0,0,SUMIF(F42:F$53,F42,AD42:AD$53))</f>
        <v>0</v>
      </c>
      <c r="AQ42" s="120">
        <f t="shared" si="48"/>
        <v>0</v>
      </c>
      <c r="AR42" s="120">
        <f t="shared" si="20"/>
        <v>0</v>
      </c>
      <c r="AS42" s="120">
        <f t="shared" si="49"/>
        <v>0</v>
      </c>
      <c r="AT42" s="120">
        <f t="shared" si="50"/>
        <v>0</v>
      </c>
      <c r="AU42" s="120">
        <f t="shared" si="21"/>
        <v>0</v>
      </c>
      <c r="AV42" s="120">
        <f t="shared" si="51"/>
        <v>0</v>
      </c>
      <c r="AW42" s="120">
        <f t="shared" si="52"/>
        <v>0</v>
      </c>
      <c r="AX42" s="120" t="str">
        <f t="shared" si="53"/>
        <v/>
      </c>
      <c r="AY42" s="120"/>
      <c r="AZ42" s="120"/>
      <c r="BA42" s="116"/>
      <c r="BB42" s="699">
        <f t="shared" si="22"/>
        <v>0</v>
      </c>
      <c r="BC42" s="699">
        <f t="shared" si="39"/>
        <v>0</v>
      </c>
      <c r="BD42" s="116"/>
      <c r="BE42" s="530" t="str">
        <f t="shared" si="23"/>
        <v/>
      </c>
      <c r="BF42" s="120">
        <f t="shared" si="24"/>
        <v>0</v>
      </c>
      <c r="BG42" s="120" t="str">
        <f t="shared" si="25"/>
        <v/>
      </c>
      <c r="BH42" s="120"/>
      <c r="BI42" s="120">
        <f t="shared" si="54"/>
        <v>0</v>
      </c>
      <c r="BJ42" s="268">
        <f t="shared" si="27"/>
        <v>0</v>
      </c>
      <c r="BK42" s="120">
        <f t="shared" si="55"/>
        <v>0</v>
      </c>
      <c r="BL42" s="120" t="str">
        <f t="shared" si="29"/>
        <v/>
      </c>
      <c r="BM42" s="266">
        <f t="shared" si="56"/>
        <v>0</v>
      </c>
      <c r="BN42" s="266">
        <f t="shared" si="57"/>
        <v>0</v>
      </c>
      <c r="BO42" s="266">
        <f t="shared" si="32"/>
        <v>0</v>
      </c>
      <c r="BP42" s="266" t="str">
        <f>IF(J42="","",(J42*Prezzi!$E$31)+L42)</f>
        <v/>
      </c>
      <c r="BQ42" s="120">
        <f t="shared" si="33"/>
        <v>0</v>
      </c>
      <c r="BR42" s="564">
        <f t="shared" si="34"/>
        <v>0</v>
      </c>
      <c r="BS42" s="120">
        <f t="shared" si="35"/>
        <v>0</v>
      </c>
      <c r="CA42"/>
    </row>
    <row r="43" spans="1:79" x14ac:dyDescent="0.15">
      <c r="A43" s="307">
        <v>40</v>
      </c>
      <c r="B43" s="282"/>
      <c r="C43" s="645"/>
      <c r="D43" s="646"/>
      <c r="E43" s="647"/>
      <c r="F43" s="645"/>
      <c r="G43" s="646"/>
      <c r="H43" s="647"/>
      <c r="I43" s="282"/>
      <c r="J43" s="795"/>
      <c r="K43" s="796"/>
      <c r="L43" s="784"/>
      <c r="M43" s="785"/>
      <c r="N43" s="786"/>
      <c r="O43" s="282"/>
      <c r="P43" s="610"/>
      <c r="Q43" s="362">
        <f t="shared" si="36"/>
        <v>0</v>
      </c>
      <c r="R43" s="363"/>
      <c r="S43" s="232">
        <f t="shared" si="17"/>
        <v>0</v>
      </c>
      <c r="T43" s="233"/>
      <c r="U43" s="233"/>
      <c r="V43" s="385" t="str">
        <f>IF(J43="","",IF(C43="Acquisti",F43,(Z43*Prezzi!$E$31)+L43))</f>
        <v/>
      </c>
      <c r="W43" s="431"/>
      <c r="X43" s="386"/>
      <c r="Y43" s="488" t="str">
        <f t="shared" si="37"/>
        <v/>
      </c>
      <c r="Z43" s="452">
        <f t="shared" si="40"/>
        <v>0</v>
      </c>
      <c r="AB43" s="266">
        <f t="shared" si="18"/>
        <v>0</v>
      </c>
      <c r="AC43" s="120">
        <f t="shared" si="41"/>
        <v>0</v>
      </c>
      <c r="AD43" s="122">
        <v>1</v>
      </c>
      <c r="AE43" s="120">
        <f>IF(C43=0,0,SUMIF(C43:C$53,C43,AD43:AD$53))</f>
        <v>0</v>
      </c>
      <c r="AF43" s="120">
        <f t="shared" si="42"/>
        <v>0</v>
      </c>
      <c r="AG43" s="120">
        <f t="shared" si="19"/>
        <v>0</v>
      </c>
      <c r="AH43" s="120">
        <f t="shared" si="43"/>
        <v>0</v>
      </c>
      <c r="AI43" s="120">
        <f t="shared" si="44"/>
        <v>0</v>
      </c>
      <c r="AJ43" s="120">
        <f t="shared" si="38"/>
        <v>0</v>
      </c>
      <c r="AK43" s="526">
        <f t="shared" si="45"/>
        <v>0</v>
      </c>
      <c r="AL43" s="120">
        <f t="shared" si="46"/>
        <v>0</v>
      </c>
      <c r="AM43" s="120" t="str">
        <f t="shared" si="47"/>
        <v/>
      </c>
      <c r="AN43" s="120"/>
      <c r="AP43" s="120">
        <f>IF(F43=0,0,SUMIF(F43:F$53,F43,AD43:AD$53))</f>
        <v>0</v>
      </c>
      <c r="AQ43" s="120">
        <f t="shared" si="48"/>
        <v>0</v>
      </c>
      <c r="AR43" s="120">
        <f t="shared" si="20"/>
        <v>0</v>
      </c>
      <c r="AS43" s="120">
        <f t="shared" si="49"/>
        <v>0</v>
      </c>
      <c r="AT43" s="120">
        <f t="shared" si="50"/>
        <v>0</v>
      </c>
      <c r="AU43" s="120">
        <f t="shared" si="21"/>
        <v>0</v>
      </c>
      <c r="AV43" s="120">
        <f t="shared" si="51"/>
        <v>0</v>
      </c>
      <c r="AW43" s="120">
        <f t="shared" si="52"/>
        <v>0</v>
      </c>
      <c r="AX43" s="120" t="str">
        <f t="shared" si="53"/>
        <v/>
      </c>
      <c r="AY43" s="120"/>
      <c r="AZ43" s="120"/>
      <c r="BA43" s="116"/>
      <c r="BB43" s="699">
        <f t="shared" si="22"/>
        <v>0</v>
      </c>
      <c r="BC43" s="699">
        <f t="shared" si="39"/>
        <v>0</v>
      </c>
      <c r="BD43" s="116"/>
      <c r="BE43" s="530" t="str">
        <f t="shared" si="23"/>
        <v/>
      </c>
      <c r="BF43" s="120">
        <f t="shared" si="24"/>
        <v>0</v>
      </c>
      <c r="BG43" s="120" t="str">
        <f t="shared" si="25"/>
        <v/>
      </c>
      <c r="BH43" s="120"/>
      <c r="BI43" s="120">
        <f t="shared" si="54"/>
        <v>0</v>
      </c>
      <c r="BJ43" s="268">
        <f t="shared" si="27"/>
        <v>0</v>
      </c>
      <c r="BK43" s="120">
        <f t="shared" si="55"/>
        <v>0</v>
      </c>
      <c r="BL43" s="120" t="str">
        <f t="shared" si="29"/>
        <v/>
      </c>
      <c r="BM43" s="266">
        <f t="shared" si="56"/>
        <v>0</v>
      </c>
      <c r="BN43" s="266">
        <f t="shared" si="57"/>
        <v>0</v>
      </c>
      <c r="BO43" s="266">
        <f t="shared" si="32"/>
        <v>0</v>
      </c>
      <c r="BP43" s="266" t="str">
        <f>IF(J43="","",(J43*Prezzi!$E$31)+L43)</f>
        <v/>
      </c>
      <c r="BQ43" s="120">
        <f t="shared" si="33"/>
        <v>0</v>
      </c>
      <c r="BR43" s="564">
        <f t="shared" si="34"/>
        <v>0</v>
      </c>
      <c r="BS43" s="120">
        <f t="shared" si="35"/>
        <v>0</v>
      </c>
      <c r="CA43"/>
    </row>
    <row r="44" spans="1:79" x14ac:dyDescent="0.15">
      <c r="A44" s="307">
        <v>41</v>
      </c>
      <c r="B44" s="282"/>
      <c r="C44" s="645"/>
      <c r="D44" s="646"/>
      <c r="E44" s="647"/>
      <c r="F44" s="645"/>
      <c r="G44" s="646"/>
      <c r="H44" s="647"/>
      <c r="I44" s="282"/>
      <c r="J44" s="795"/>
      <c r="K44" s="796"/>
      <c r="L44" s="784"/>
      <c r="M44" s="785"/>
      <c r="N44" s="786"/>
      <c r="O44" s="282"/>
      <c r="P44" s="610"/>
      <c r="Q44" s="362">
        <f t="shared" si="36"/>
        <v>0</v>
      </c>
      <c r="R44" s="363"/>
      <c r="S44" s="232">
        <f t="shared" si="17"/>
        <v>0</v>
      </c>
      <c r="T44" s="233"/>
      <c r="U44" s="233"/>
      <c r="V44" s="385" t="str">
        <f>IF(J44="","",IF(C44="Acquisti",F44,(Z44*Prezzi!$E$31)+L44))</f>
        <v/>
      </c>
      <c r="W44" s="431"/>
      <c r="X44" s="386"/>
      <c r="Y44" s="488" t="str">
        <f t="shared" si="37"/>
        <v/>
      </c>
      <c r="Z44" s="452">
        <f t="shared" si="40"/>
        <v>0</v>
      </c>
      <c r="AB44" s="266">
        <f t="shared" si="18"/>
        <v>0</v>
      </c>
      <c r="AC44" s="120">
        <f t="shared" si="41"/>
        <v>0</v>
      </c>
      <c r="AD44" s="122">
        <v>1</v>
      </c>
      <c r="AE44" s="120">
        <f>IF(C44=0,0,SUMIF(C44:C$53,C44,AD44:AD$53))</f>
        <v>0</v>
      </c>
      <c r="AF44" s="120">
        <f t="shared" si="42"/>
        <v>0</v>
      </c>
      <c r="AG44" s="120">
        <f t="shared" si="19"/>
        <v>0</v>
      </c>
      <c r="AH44" s="120">
        <f t="shared" si="43"/>
        <v>0</v>
      </c>
      <c r="AI44" s="120">
        <f t="shared" si="44"/>
        <v>0</v>
      </c>
      <c r="AJ44" s="120">
        <f t="shared" si="38"/>
        <v>0</v>
      </c>
      <c r="AK44" s="526">
        <f t="shared" si="45"/>
        <v>0</v>
      </c>
      <c r="AL44" s="120">
        <f t="shared" si="46"/>
        <v>0</v>
      </c>
      <c r="AM44" s="120" t="str">
        <f t="shared" si="47"/>
        <v/>
      </c>
      <c r="AN44" s="120"/>
      <c r="AP44" s="120">
        <f>IF(F44=0,0,SUMIF(F44:F$53,F44,AD44:AD$53))</f>
        <v>0</v>
      </c>
      <c r="AQ44" s="120">
        <f t="shared" si="48"/>
        <v>0</v>
      </c>
      <c r="AR44" s="120">
        <f t="shared" si="20"/>
        <v>0</v>
      </c>
      <c r="AS44" s="120">
        <f t="shared" si="49"/>
        <v>0</v>
      </c>
      <c r="AT44" s="120">
        <f t="shared" si="50"/>
        <v>0</v>
      </c>
      <c r="AU44" s="120">
        <f t="shared" si="21"/>
        <v>0</v>
      </c>
      <c r="AV44" s="120">
        <f t="shared" si="51"/>
        <v>0</v>
      </c>
      <c r="AW44" s="120">
        <f t="shared" si="52"/>
        <v>0</v>
      </c>
      <c r="AX44" s="120" t="str">
        <f t="shared" si="53"/>
        <v/>
      </c>
      <c r="AY44" s="120"/>
      <c r="AZ44" s="120"/>
      <c r="BA44" s="116"/>
      <c r="BB44" s="699">
        <f t="shared" si="22"/>
        <v>0</v>
      </c>
      <c r="BC44" s="699">
        <f t="shared" si="39"/>
        <v>0</v>
      </c>
      <c r="BD44" s="116"/>
      <c r="BE44" s="530" t="str">
        <f t="shared" si="23"/>
        <v/>
      </c>
      <c r="BF44" s="120">
        <f t="shared" si="24"/>
        <v>0</v>
      </c>
      <c r="BG44" s="120" t="str">
        <f t="shared" si="25"/>
        <v/>
      </c>
      <c r="BH44" s="120"/>
      <c r="BI44" s="120">
        <f t="shared" si="54"/>
        <v>0</v>
      </c>
      <c r="BJ44" s="268">
        <f t="shared" si="27"/>
        <v>0</v>
      </c>
      <c r="BK44" s="120">
        <f t="shared" si="55"/>
        <v>0</v>
      </c>
      <c r="BL44" s="120" t="str">
        <f t="shared" si="29"/>
        <v/>
      </c>
      <c r="BM44" s="266">
        <f t="shared" si="56"/>
        <v>0</v>
      </c>
      <c r="BN44" s="266">
        <f t="shared" si="57"/>
        <v>0</v>
      </c>
      <c r="BO44" s="266">
        <f t="shared" si="32"/>
        <v>0</v>
      </c>
      <c r="BP44" s="266" t="str">
        <f>IF(J44="","",(J44*Prezzi!$E$31)+L44)</f>
        <v/>
      </c>
      <c r="BQ44" s="120">
        <f t="shared" si="33"/>
        <v>0</v>
      </c>
      <c r="BR44" s="564">
        <f t="shared" si="34"/>
        <v>0</v>
      </c>
      <c r="BS44" s="120">
        <f t="shared" si="35"/>
        <v>0</v>
      </c>
      <c r="CA44"/>
    </row>
    <row r="45" spans="1:79" x14ac:dyDescent="0.15">
      <c r="A45" s="307">
        <v>42</v>
      </c>
      <c r="B45" s="282"/>
      <c r="C45" s="645"/>
      <c r="D45" s="646"/>
      <c r="E45" s="647"/>
      <c r="F45" s="645"/>
      <c r="G45" s="646"/>
      <c r="H45" s="647"/>
      <c r="I45" s="282"/>
      <c r="J45" s="795"/>
      <c r="K45" s="796"/>
      <c r="L45" s="784"/>
      <c r="M45" s="785"/>
      <c r="N45" s="786"/>
      <c r="O45" s="282"/>
      <c r="P45" s="610"/>
      <c r="Q45" s="362">
        <f t="shared" si="36"/>
        <v>0</v>
      </c>
      <c r="R45" s="363"/>
      <c r="S45" s="232">
        <f t="shared" si="17"/>
        <v>0</v>
      </c>
      <c r="T45" s="233"/>
      <c r="U45" s="233"/>
      <c r="V45" s="385" t="str">
        <f>IF(J45="","",IF(C45="Acquisti",F45,(Z45*Prezzi!$E$31)+L45))</f>
        <v/>
      </c>
      <c r="W45" s="431"/>
      <c r="X45" s="386"/>
      <c r="Y45" s="488" t="str">
        <f t="shared" si="37"/>
        <v/>
      </c>
      <c r="Z45" s="452">
        <f t="shared" si="40"/>
        <v>0</v>
      </c>
      <c r="AB45" s="266">
        <f t="shared" si="18"/>
        <v>0</v>
      </c>
      <c r="AC45" s="120">
        <f t="shared" si="41"/>
        <v>0</v>
      </c>
      <c r="AD45" s="122">
        <v>1</v>
      </c>
      <c r="AE45" s="120">
        <f>IF(C45=0,0,SUMIF(C45:C$53,C45,AD45:AD$53))</f>
        <v>0</v>
      </c>
      <c r="AF45" s="120">
        <f t="shared" si="42"/>
        <v>0</v>
      </c>
      <c r="AG45" s="120">
        <f t="shared" si="19"/>
        <v>0</v>
      </c>
      <c r="AH45" s="120">
        <f t="shared" si="43"/>
        <v>0</v>
      </c>
      <c r="AI45" s="120">
        <f t="shared" si="44"/>
        <v>0</v>
      </c>
      <c r="AJ45" s="120">
        <f t="shared" si="38"/>
        <v>0</v>
      </c>
      <c r="AK45" s="526">
        <f t="shared" si="45"/>
        <v>0</v>
      </c>
      <c r="AL45" s="120">
        <f t="shared" si="46"/>
        <v>0</v>
      </c>
      <c r="AM45" s="120" t="str">
        <f t="shared" si="47"/>
        <v/>
      </c>
      <c r="AN45" s="120"/>
      <c r="AP45" s="120">
        <f>IF(F45=0,0,SUMIF(F45:F$53,F45,AD45:AD$53))</f>
        <v>0</v>
      </c>
      <c r="AQ45" s="120">
        <f t="shared" si="48"/>
        <v>0</v>
      </c>
      <c r="AR45" s="120">
        <f t="shared" si="20"/>
        <v>0</v>
      </c>
      <c r="AS45" s="120">
        <f t="shared" si="49"/>
        <v>0</v>
      </c>
      <c r="AT45" s="120">
        <f t="shared" si="50"/>
        <v>0</v>
      </c>
      <c r="AU45" s="120">
        <f t="shared" si="21"/>
        <v>0</v>
      </c>
      <c r="AV45" s="120">
        <f t="shared" si="51"/>
        <v>0</v>
      </c>
      <c r="AW45" s="120">
        <f t="shared" si="52"/>
        <v>0</v>
      </c>
      <c r="AX45" s="120" t="str">
        <f t="shared" si="53"/>
        <v/>
      </c>
      <c r="AY45" s="120"/>
      <c r="AZ45" s="120"/>
      <c r="BA45" s="116"/>
      <c r="BB45" s="699">
        <f t="shared" si="22"/>
        <v>0</v>
      </c>
      <c r="BC45" s="699">
        <f t="shared" si="39"/>
        <v>0</v>
      </c>
      <c r="BD45" s="116"/>
      <c r="BE45" s="530" t="str">
        <f t="shared" si="23"/>
        <v/>
      </c>
      <c r="BF45" s="120">
        <f t="shared" si="24"/>
        <v>0</v>
      </c>
      <c r="BG45" s="120" t="str">
        <f t="shared" si="25"/>
        <v/>
      </c>
      <c r="BH45" s="120"/>
      <c r="BI45" s="120">
        <f t="shared" si="54"/>
        <v>0</v>
      </c>
      <c r="BJ45" s="268">
        <f t="shared" si="27"/>
        <v>0</v>
      </c>
      <c r="BK45" s="120">
        <f t="shared" si="55"/>
        <v>0</v>
      </c>
      <c r="BL45" s="120" t="str">
        <f t="shared" si="29"/>
        <v/>
      </c>
      <c r="BM45" s="266">
        <f t="shared" si="56"/>
        <v>0</v>
      </c>
      <c r="BN45" s="266">
        <f t="shared" si="57"/>
        <v>0</v>
      </c>
      <c r="BO45" s="266">
        <f t="shared" si="32"/>
        <v>0</v>
      </c>
      <c r="BP45" s="266" t="str">
        <f>IF(J45="","",(J45*Prezzi!$E$31)+L45)</f>
        <v/>
      </c>
      <c r="BQ45" s="120">
        <f t="shared" si="33"/>
        <v>0</v>
      </c>
      <c r="BR45" s="564">
        <f t="shared" si="34"/>
        <v>0</v>
      </c>
      <c r="BS45" s="120">
        <f t="shared" si="35"/>
        <v>0</v>
      </c>
      <c r="CA45"/>
    </row>
    <row r="46" spans="1:79" x14ac:dyDescent="0.15">
      <c r="A46" s="307">
        <v>43</v>
      </c>
      <c r="B46" s="282"/>
      <c r="C46" s="645"/>
      <c r="D46" s="646"/>
      <c r="E46" s="647"/>
      <c r="F46" s="645"/>
      <c r="G46" s="646"/>
      <c r="H46" s="647"/>
      <c r="I46" s="282"/>
      <c r="J46" s="795"/>
      <c r="K46" s="796"/>
      <c r="L46" s="784"/>
      <c r="M46" s="785"/>
      <c r="N46" s="786"/>
      <c r="O46" s="282"/>
      <c r="P46" s="610"/>
      <c r="Q46" s="362">
        <f t="shared" si="36"/>
        <v>0</v>
      </c>
      <c r="R46" s="363"/>
      <c r="S46" s="232">
        <f t="shared" si="17"/>
        <v>0</v>
      </c>
      <c r="T46" s="233"/>
      <c r="U46" s="233"/>
      <c r="V46" s="385" t="str">
        <f>IF(J46="","",IF(C46="Acquisti",F46,(Z46*Prezzi!$E$31)+L46))</f>
        <v/>
      </c>
      <c r="W46" s="431"/>
      <c r="X46" s="386"/>
      <c r="Y46" s="488" t="str">
        <f t="shared" si="37"/>
        <v/>
      </c>
      <c r="Z46" s="452">
        <f t="shared" si="40"/>
        <v>0</v>
      </c>
      <c r="AB46" s="266">
        <f t="shared" si="18"/>
        <v>0</v>
      </c>
      <c r="AC46" s="120">
        <f t="shared" si="41"/>
        <v>0</v>
      </c>
      <c r="AD46" s="122">
        <v>1</v>
      </c>
      <c r="AE46" s="120">
        <f>IF(C46=0,0,SUMIF(C46:C$53,C46,AD46:AD$53))</f>
        <v>0</v>
      </c>
      <c r="AF46" s="120">
        <f t="shared" si="42"/>
        <v>0</v>
      </c>
      <c r="AG46" s="120">
        <f t="shared" si="19"/>
        <v>0</v>
      </c>
      <c r="AH46" s="120">
        <f t="shared" si="43"/>
        <v>0</v>
      </c>
      <c r="AI46" s="120">
        <f t="shared" si="44"/>
        <v>0</v>
      </c>
      <c r="AJ46" s="120">
        <f t="shared" si="38"/>
        <v>0</v>
      </c>
      <c r="AK46" s="526">
        <f t="shared" si="45"/>
        <v>0</v>
      </c>
      <c r="AL46" s="120">
        <f t="shared" si="46"/>
        <v>0</v>
      </c>
      <c r="AM46" s="120" t="str">
        <f t="shared" si="47"/>
        <v/>
      </c>
      <c r="AN46" s="120"/>
      <c r="AP46" s="120">
        <f>IF(F46=0,0,SUMIF(F46:F$53,F46,AD46:AD$53))</f>
        <v>0</v>
      </c>
      <c r="AQ46" s="120">
        <f t="shared" si="48"/>
        <v>0</v>
      </c>
      <c r="AR46" s="120">
        <f t="shared" si="20"/>
        <v>0</v>
      </c>
      <c r="AS46" s="120">
        <f t="shared" si="49"/>
        <v>0</v>
      </c>
      <c r="AT46" s="120">
        <f t="shared" si="50"/>
        <v>0</v>
      </c>
      <c r="AU46" s="120">
        <f t="shared" si="21"/>
        <v>0</v>
      </c>
      <c r="AV46" s="120">
        <f t="shared" si="51"/>
        <v>0</v>
      </c>
      <c r="AW46" s="120">
        <f t="shared" si="52"/>
        <v>0</v>
      </c>
      <c r="AX46" s="120" t="str">
        <f t="shared" si="53"/>
        <v/>
      </c>
      <c r="AY46" s="120"/>
      <c r="AZ46" s="120"/>
      <c r="BA46" s="116"/>
      <c r="BB46" s="699">
        <f t="shared" si="22"/>
        <v>0</v>
      </c>
      <c r="BC46" s="699">
        <f t="shared" si="39"/>
        <v>0</v>
      </c>
      <c r="BD46" s="116"/>
      <c r="BE46" s="530" t="str">
        <f t="shared" si="23"/>
        <v/>
      </c>
      <c r="BF46" s="120">
        <f t="shared" si="24"/>
        <v>0</v>
      </c>
      <c r="BG46" s="120" t="str">
        <f t="shared" si="25"/>
        <v/>
      </c>
      <c r="BH46" s="120"/>
      <c r="BI46" s="120">
        <f t="shared" si="54"/>
        <v>0</v>
      </c>
      <c r="BJ46" s="268">
        <f t="shared" si="27"/>
        <v>0</v>
      </c>
      <c r="BK46" s="120">
        <f t="shared" si="55"/>
        <v>0</v>
      </c>
      <c r="BL46" s="120" t="str">
        <f t="shared" si="29"/>
        <v/>
      </c>
      <c r="BM46" s="266">
        <f t="shared" si="56"/>
        <v>0</v>
      </c>
      <c r="BN46" s="266">
        <f t="shared" si="57"/>
        <v>0</v>
      </c>
      <c r="BO46" s="266">
        <f t="shared" si="32"/>
        <v>0</v>
      </c>
      <c r="BP46" s="266" t="str">
        <f>IF(J46="","",(J46*Prezzi!$E$31)+L46)</f>
        <v/>
      </c>
      <c r="BQ46" s="120">
        <f t="shared" si="33"/>
        <v>0</v>
      </c>
      <c r="BR46" s="564">
        <f t="shared" si="34"/>
        <v>0</v>
      </c>
      <c r="BS46" s="120">
        <f t="shared" si="35"/>
        <v>0</v>
      </c>
      <c r="CA46"/>
    </row>
    <row r="47" spans="1:79" x14ac:dyDescent="0.15">
      <c r="A47" s="307">
        <v>44</v>
      </c>
      <c r="B47" s="282"/>
      <c r="C47" s="645"/>
      <c r="D47" s="646"/>
      <c r="E47" s="647"/>
      <c r="F47" s="645"/>
      <c r="G47" s="646"/>
      <c r="H47" s="647"/>
      <c r="I47" s="282"/>
      <c r="J47" s="795"/>
      <c r="K47" s="796"/>
      <c r="L47" s="784"/>
      <c r="M47" s="785"/>
      <c r="N47" s="786"/>
      <c r="O47" s="282"/>
      <c r="P47" s="610"/>
      <c r="Q47" s="362">
        <f t="shared" si="36"/>
        <v>0</v>
      </c>
      <c r="R47" s="363"/>
      <c r="S47" s="232">
        <f t="shared" si="17"/>
        <v>0</v>
      </c>
      <c r="T47" s="233"/>
      <c r="U47" s="233"/>
      <c r="V47" s="385" t="str">
        <f>IF(J47="","",IF(C47="Acquisti",F47,(Z47*Prezzi!$E$31)+L47))</f>
        <v/>
      </c>
      <c r="W47" s="431"/>
      <c r="X47" s="386"/>
      <c r="Y47" s="488" t="str">
        <f t="shared" si="37"/>
        <v/>
      </c>
      <c r="Z47" s="452">
        <f t="shared" si="40"/>
        <v>0</v>
      </c>
      <c r="AB47" s="266">
        <f t="shared" si="18"/>
        <v>0</v>
      </c>
      <c r="AC47" s="120">
        <f t="shared" si="41"/>
        <v>0</v>
      </c>
      <c r="AD47" s="122">
        <v>1</v>
      </c>
      <c r="AE47" s="120">
        <f>IF(C47=0,0,SUMIF(C47:C$53,C47,AD47:AD$53))</f>
        <v>0</v>
      </c>
      <c r="AF47" s="120">
        <f t="shared" si="42"/>
        <v>0</v>
      </c>
      <c r="AG47" s="120">
        <f t="shared" si="19"/>
        <v>0</v>
      </c>
      <c r="AH47" s="120">
        <f t="shared" si="43"/>
        <v>0</v>
      </c>
      <c r="AI47" s="120">
        <f t="shared" si="44"/>
        <v>0</v>
      </c>
      <c r="AJ47" s="120">
        <f t="shared" si="38"/>
        <v>0</v>
      </c>
      <c r="AK47" s="526">
        <f t="shared" si="45"/>
        <v>0</v>
      </c>
      <c r="AL47" s="120">
        <f t="shared" si="46"/>
        <v>0</v>
      </c>
      <c r="AM47" s="120" t="str">
        <f t="shared" si="47"/>
        <v/>
      </c>
      <c r="AN47" s="120"/>
      <c r="AP47" s="120">
        <f>IF(F47=0,0,SUMIF(F47:F$53,F47,AD47:AD$53))</f>
        <v>0</v>
      </c>
      <c r="AQ47" s="120">
        <f t="shared" si="48"/>
        <v>0</v>
      </c>
      <c r="AR47" s="120">
        <f t="shared" si="20"/>
        <v>0</v>
      </c>
      <c r="AS47" s="120">
        <f t="shared" si="49"/>
        <v>0</v>
      </c>
      <c r="AT47" s="120">
        <f t="shared" si="50"/>
        <v>0</v>
      </c>
      <c r="AU47" s="120">
        <f t="shared" si="21"/>
        <v>0</v>
      </c>
      <c r="AV47" s="120">
        <f t="shared" si="51"/>
        <v>0</v>
      </c>
      <c r="AW47" s="120">
        <f t="shared" si="52"/>
        <v>0</v>
      </c>
      <c r="AX47" s="120" t="str">
        <f t="shared" si="53"/>
        <v/>
      </c>
      <c r="AY47" s="120"/>
      <c r="AZ47" s="120"/>
      <c r="BA47" s="116"/>
      <c r="BB47" s="699">
        <f t="shared" si="22"/>
        <v>0</v>
      </c>
      <c r="BC47" s="699">
        <f t="shared" si="39"/>
        <v>0</v>
      </c>
      <c r="BD47" s="116"/>
      <c r="BE47" s="530" t="str">
        <f t="shared" si="23"/>
        <v/>
      </c>
      <c r="BF47" s="120">
        <f t="shared" si="24"/>
        <v>0</v>
      </c>
      <c r="BG47" s="120" t="str">
        <f t="shared" si="25"/>
        <v/>
      </c>
      <c r="BH47" s="120"/>
      <c r="BI47" s="120">
        <f t="shared" si="54"/>
        <v>0</v>
      </c>
      <c r="BJ47" s="268">
        <f t="shared" si="27"/>
        <v>0</v>
      </c>
      <c r="BK47" s="120">
        <f t="shared" si="55"/>
        <v>0</v>
      </c>
      <c r="BL47" s="120" t="str">
        <f t="shared" si="29"/>
        <v/>
      </c>
      <c r="BM47" s="266">
        <f t="shared" si="56"/>
        <v>0</v>
      </c>
      <c r="BN47" s="266">
        <f t="shared" si="57"/>
        <v>0</v>
      </c>
      <c r="BO47" s="266">
        <f t="shared" si="32"/>
        <v>0</v>
      </c>
      <c r="BP47" s="266" t="str">
        <f>IF(J47="","",(J47*Prezzi!$E$31)+L47)</f>
        <v/>
      </c>
      <c r="BQ47" s="120">
        <f t="shared" si="33"/>
        <v>0</v>
      </c>
      <c r="BR47" s="564">
        <f t="shared" si="34"/>
        <v>0</v>
      </c>
      <c r="BS47" s="120">
        <f t="shared" si="35"/>
        <v>0</v>
      </c>
      <c r="CA47"/>
    </row>
    <row r="48" spans="1:79" x14ac:dyDescent="0.15">
      <c r="A48" s="307">
        <v>45</v>
      </c>
      <c r="B48" s="282"/>
      <c r="C48" s="645"/>
      <c r="D48" s="646"/>
      <c r="E48" s="647"/>
      <c r="F48" s="645"/>
      <c r="G48" s="646"/>
      <c r="H48" s="647"/>
      <c r="I48" s="282"/>
      <c r="J48" s="795"/>
      <c r="K48" s="796"/>
      <c r="L48" s="784"/>
      <c r="M48" s="785"/>
      <c r="N48" s="786"/>
      <c r="O48" s="282"/>
      <c r="P48" s="610"/>
      <c r="Q48" s="362">
        <f t="shared" si="36"/>
        <v>0</v>
      </c>
      <c r="R48" s="363"/>
      <c r="S48" s="232">
        <f t="shared" si="17"/>
        <v>0</v>
      </c>
      <c r="T48" s="233"/>
      <c r="U48" s="233"/>
      <c r="V48" s="385" t="str">
        <f>IF(J48="","",IF(C48="Acquisti",F48,(Z48*Prezzi!$E$31)+L48))</f>
        <v/>
      </c>
      <c r="W48" s="431"/>
      <c r="X48" s="386"/>
      <c r="Y48" s="488" t="str">
        <f t="shared" si="37"/>
        <v/>
      </c>
      <c r="Z48" s="452">
        <f t="shared" si="40"/>
        <v>0</v>
      </c>
      <c r="AB48" s="266">
        <f t="shared" si="18"/>
        <v>0</v>
      </c>
      <c r="AC48" s="120">
        <f t="shared" si="41"/>
        <v>0</v>
      </c>
      <c r="AD48" s="122">
        <v>1</v>
      </c>
      <c r="AE48" s="120">
        <f>IF(C48=0,0,SUMIF(C48:C$53,C48,AD48:AD$53))</f>
        <v>0</v>
      </c>
      <c r="AF48" s="120">
        <f t="shared" si="42"/>
        <v>0</v>
      </c>
      <c r="AG48" s="120">
        <f t="shared" si="19"/>
        <v>0</v>
      </c>
      <c r="AH48" s="120">
        <f t="shared" si="43"/>
        <v>0</v>
      </c>
      <c r="AI48" s="120">
        <f t="shared" si="44"/>
        <v>0</v>
      </c>
      <c r="AJ48" s="120">
        <f t="shared" si="38"/>
        <v>0</v>
      </c>
      <c r="AK48" s="526">
        <f t="shared" si="45"/>
        <v>0</v>
      </c>
      <c r="AL48" s="120">
        <f t="shared" si="46"/>
        <v>0</v>
      </c>
      <c r="AM48" s="120" t="str">
        <f t="shared" si="47"/>
        <v/>
      </c>
      <c r="AN48" s="120"/>
      <c r="AP48" s="120">
        <f>IF(F48=0,0,SUMIF(F48:F$53,F48,AD48:AD$53))</f>
        <v>0</v>
      </c>
      <c r="AQ48" s="120">
        <f t="shared" si="48"/>
        <v>0</v>
      </c>
      <c r="AR48" s="120">
        <f t="shared" si="20"/>
        <v>0</v>
      </c>
      <c r="AS48" s="120">
        <f t="shared" si="49"/>
        <v>0</v>
      </c>
      <c r="AT48" s="120">
        <f t="shared" si="50"/>
        <v>0</v>
      </c>
      <c r="AU48" s="120">
        <f t="shared" si="21"/>
        <v>0</v>
      </c>
      <c r="AV48" s="120">
        <f t="shared" si="51"/>
        <v>0</v>
      </c>
      <c r="AW48" s="120">
        <f t="shared" si="52"/>
        <v>0</v>
      </c>
      <c r="AX48" s="120" t="str">
        <f t="shared" si="53"/>
        <v/>
      </c>
      <c r="AY48" s="120"/>
      <c r="AZ48" s="120"/>
      <c r="BA48" s="116"/>
      <c r="BB48" s="699">
        <f t="shared" si="22"/>
        <v>0</v>
      </c>
      <c r="BC48" s="699">
        <f t="shared" si="39"/>
        <v>0</v>
      </c>
      <c r="BD48" s="116"/>
      <c r="BE48" s="530" t="str">
        <f t="shared" si="23"/>
        <v/>
      </c>
      <c r="BF48" s="120">
        <f t="shared" si="24"/>
        <v>0</v>
      </c>
      <c r="BG48" s="120" t="str">
        <f t="shared" si="25"/>
        <v/>
      </c>
      <c r="BH48" s="120"/>
      <c r="BI48" s="120">
        <f t="shared" si="54"/>
        <v>0</v>
      </c>
      <c r="BJ48" s="268">
        <f t="shared" si="27"/>
        <v>0</v>
      </c>
      <c r="BK48" s="120">
        <f t="shared" si="55"/>
        <v>0</v>
      </c>
      <c r="BL48" s="120" t="str">
        <f t="shared" si="29"/>
        <v/>
      </c>
      <c r="BM48" s="266">
        <f t="shared" si="56"/>
        <v>0</v>
      </c>
      <c r="BN48" s="266">
        <f t="shared" si="57"/>
        <v>0</v>
      </c>
      <c r="BO48" s="266">
        <f t="shared" si="32"/>
        <v>0</v>
      </c>
      <c r="BP48" s="266" t="str">
        <f>IF(J48="","",(J48*Prezzi!$E$31)+L48)</f>
        <v/>
      </c>
      <c r="BQ48" s="120">
        <f t="shared" si="33"/>
        <v>0</v>
      </c>
      <c r="BR48" s="564">
        <f t="shared" si="34"/>
        <v>0</v>
      </c>
      <c r="BS48" s="120">
        <f t="shared" si="35"/>
        <v>0</v>
      </c>
      <c r="CA48"/>
    </row>
    <row r="49" spans="1:79" x14ac:dyDescent="0.15">
      <c r="A49" s="307">
        <v>46</v>
      </c>
      <c r="B49" s="282"/>
      <c r="C49" s="645"/>
      <c r="D49" s="646"/>
      <c r="E49" s="647"/>
      <c r="F49" s="645"/>
      <c r="G49" s="646"/>
      <c r="H49" s="647"/>
      <c r="I49" s="282"/>
      <c r="J49" s="795"/>
      <c r="K49" s="796"/>
      <c r="L49" s="784"/>
      <c r="M49" s="785"/>
      <c r="N49" s="786"/>
      <c r="O49" s="282"/>
      <c r="P49" s="610"/>
      <c r="Q49" s="362">
        <f t="shared" si="36"/>
        <v>0</v>
      </c>
      <c r="R49" s="363"/>
      <c r="S49" s="232">
        <f t="shared" si="17"/>
        <v>0</v>
      </c>
      <c r="T49" s="233"/>
      <c r="U49" s="233"/>
      <c r="V49" s="385" t="str">
        <f>IF(J49="","",IF(C49="Acquisti",F49,(Z49*Prezzi!$E$31)+L49))</f>
        <v/>
      </c>
      <c r="W49" s="431"/>
      <c r="X49" s="386"/>
      <c r="Y49" s="488" t="str">
        <f t="shared" si="37"/>
        <v/>
      </c>
      <c r="Z49" s="452">
        <f t="shared" si="40"/>
        <v>0</v>
      </c>
      <c r="AB49" s="266">
        <f t="shared" si="18"/>
        <v>0</v>
      </c>
      <c r="AC49" s="120">
        <f t="shared" si="41"/>
        <v>0</v>
      </c>
      <c r="AD49" s="122">
        <v>1</v>
      </c>
      <c r="AE49" s="120">
        <f>IF(C49=0,0,SUMIF(C49:C$53,C49,AD49:AD$53))</f>
        <v>0</v>
      </c>
      <c r="AF49" s="120">
        <f t="shared" si="42"/>
        <v>0</v>
      </c>
      <c r="AG49" s="120">
        <f t="shared" si="19"/>
        <v>0</v>
      </c>
      <c r="AH49" s="120">
        <f t="shared" si="43"/>
        <v>0</v>
      </c>
      <c r="AI49" s="120">
        <f t="shared" si="44"/>
        <v>0</v>
      </c>
      <c r="AJ49" s="120">
        <f t="shared" si="38"/>
        <v>0</v>
      </c>
      <c r="AK49" s="526">
        <f t="shared" si="45"/>
        <v>0</v>
      </c>
      <c r="AL49" s="120">
        <f t="shared" si="46"/>
        <v>0</v>
      </c>
      <c r="AM49" s="120" t="str">
        <f t="shared" si="47"/>
        <v/>
      </c>
      <c r="AN49" s="120"/>
      <c r="AP49" s="120">
        <f>IF(F49=0,0,SUMIF(F49:F$53,F49,AD49:AD$53))</f>
        <v>0</v>
      </c>
      <c r="AQ49" s="120">
        <f t="shared" si="48"/>
        <v>0</v>
      </c>
      <c r="AR49" s="120">
        <f t="shared" si="20"/>
        <v>0</v>
      </c>
      <c r="AS49" s="120">
        <f t="shared" si="49"/>
        <v>0</v>
      </c>
      <c r="AT49" s="120">
        <f t="shared" si="50"/>
        <v>0</v>
      </c>
      <c r="AU49" s="120">
        <f t="shared" si="21"/>
        <v>0</v>
      </c>
      <c r="AV49" s="120">
        <f t="shared" si="51"/>
        <v>0</v>
      </c>
      <c r="AW49" s="120">
        <f t="shared" si="52"/>
        <v>0</v>
      </c>
      <c r="AX49" s="120" t="str">
        <f t="shared" si="53"/>
        <v/>
      </c>
      <c r="AY49" s="120"/>
      <c r="AZ49" s="120"/>
      <c r="BA49" s="116"/>
      <c r="BB49" s="699">
        <f t="shared" si="22"/>
        <v>0</v>
      </c>
      <c r="BC49" s="699">
        <f t="shared" si="39"/>
        <v>0</v>
      </c>
      <c r="BD49" s="116"/>
      <c r="BE49" s="530" t="str">
        <f t="shared" si="23"/>
        <v/>
      </c>
      <c r="BF49" s="120">
        <f t="shared" si="24"/>
        <v>0</v>
      </c>
      <c r="BG49" s="120" t="str">
        <f t="shared" si="25"/>
        <v/>
      </c>
      <c r="BH49" s="120"/>
      <c r="BI49" s="120">
        <f t="shared" si="54"/>
        <v>0</v>
      </c>
      <c r="BJ49" s="268">
        <f t="shared" si="27"/>
        <v>0</v>
      </c>
      <c r="BK49" s="120">
        <f t="shared" si="55"/>
        <v>0</v>
      </c>
      <c r="BL49" s="120" t="str">
        <f t="shared" si="29"/>
        <v/>
      </c>
      <c r="BM49" s="266">
        <f t="shared" si="56"/>
        <v>0</v>
      </c>
      <c r="BN49" s="266">
        <f t="shared" si="57"/>
        <v>0</v>
      </c>
      <c r="BO49" s="266">
        <f t="shared" si="32"/>
        <v>0</v>
      </c>
      <c r="BP49" s="266" t="str">
        <f>IF(J49="","",(J49*Prezzi!$E$31)+L49)</f>
        <v/>
      </c>
      <c r="BQ49" s="120">
        <f t="shared" si="33"/>
        <v>0</v>
      </c>
      <c r="BR49" s="564">
        <f t="shared" si="34"/>
        <v>0</v>
      </c>
      <c r="BS49" s="120">
        <f t="shared" si="35"/>
        <v>0</v>
      </c>
      <c r="CA49"/>
    </row>
    <row r="50" spans="1:79" x14ac:dyDescent="0.15">
      <c r="A50" s="307">
        <v>47</v>
      </c>
      <c r="B50" s="282"/>
      <c r="C50" s="645"/>
      <c r="D50" s="646"/>
      <c r="E50" s="647"/>
      <c r="F50" s="645"/>
      <c r="G50" s="646"/>
      <c r="H50" s="647"/>
      <c r="I50" s="282"/>
      <c r="J50" s="795"/>
      <c r="K50" s="796"/>
      <c r="L50" s="784"/>
      <c r="M50" s="785"/>
      <c r="N50" s="786"/>
      <c r="O50" s="282"/>
      <c r="P50" s="610"/>
      <c r="Q50" s="362">
        <f t="shared" si="36"/>
        <v>0</v>
      </c>
      <c r="R50" s="363"/>
      <c r="S50" s="232">
        <f t="shared" si="17"/>
        <v>0</v>
      </c>
      <c r="T50" s="233"/>
      <c r="U50" s="233"/>
      <c r="V50" s="385" t="str">
        <f>IF(J50="","",IF(C50="Acquisti",F50,(Z50*Prezzi!$E$31)+L50))</f>
        <v/>
      </c>
      <c r="W50" s="431"/>
      <c r="X50" s="386"/>
      <c r="Y50" s="488" t="str">
        <f t="shared" si="37"/>
        <v/>
      </c>
      <c r="Z50" s="452">
        <f t="shared" si="40"/>
        <v>0</v>
      </c>
      <c r="AB50" s="266">
        <f t="shared" si="18"/>
        <v>0</v>
      </c>
      <c r="AC50" s="120">
        <f t="shared" si="41"/>
        <v>0</v>
      </c>
      <c r="AD50" s="122">
        <v>1</v>
      </c>
      <c r="AE50" s="120">
        <f>IF(C50=0,0,SUMIF(C50:C$53,C50,AD50:AD$53))</f>
        <v>0</v>
      </c>
      <c r="AF50" s="120">
        <f t="shared" si="42"/>
        <v>0</v>
      </c>
      <c r="AG50" s="120">
        <f t="shared" si="19"/>
        <v>0</v>
      </c>
      <c r="AH50" s="120">
        <f t="shared" si="43"/>
        <v>0</v>
      </c>
      <c r="AI50" s="120">
        <f t="shared" si="44"/>
        <v>0</v>
      </c>
      <c r="AJ50" s="120">
        <f t="shared" si="38"/>
        <v>0</v>
      </c>
      <c r="AK50" s="526">
        <f t="shared" si="45"/>
        <v>0</v>
      </c>
      <c r="AL50" s="120">
        <f t="shared" si="46"/>
        <v>0</v>
      </c>
      <c r="AM50" s="120" t="str">
        <f t="shared" si="47"/>
        <v/>
      </c>
      <c r="AN50" s="120"/>
      <c r="AP50" s="120">
        <f>IF(F50=0,0,SUMIF(F50:F$53,F50,AD50:AD$53))</f>
        <v>0</v>
      </c>
      <c r="AQ50" s="120">
        <f t="shared" si="48"/>
        <v>0</v>
      </c>
      <c r="AR50" s="120">
        <f t="shared" si="20"/>
        <v>0</v>
      </c>
      <c r="AS50" s="120">
        <f t="shared" si="49"/>
        <v>0</v>
      </c>
      <c r="AT50" s="120">
        <f t="shared" si="50"/>
        <v>0</v>
      </c>
      <c r="AU50" s="120">
        <f t="shared" si="21"/>
        <v>0</v>
      </c>
      <c r="AV50" s="120">
        <f t="shared" si="51"/>
        <v>0</v>
      </c>
      <c r="AW50" s="120">
        <f t="shared" si="52"/>
        <v>0</v>
      </c>
      <c r="AX50" s="120" t="str">
        <f t="shared" si="53"/>
        <v/>
      </c>
      <c r="AY50" s="120"/>
      <c r="AZ50" s="120"/>
      <c r="BA50" s="116"/>
      <c r="BB50" s="699">
        <f t="shared" si="22"/>
        <v>0</v>
      </c>
      <c r="BC50" s="699">
        <f t="shared" si="39"/>
        <v>0</v>
      </c>
      <c r="BD50" s="116"/>
      <c r="BE50" s="530" t="str">
        <f t="shared" si="23"/>
        <v/>
      </c>
      <c r="BF50" s="120">
        <f t="shared" si="24"/>
        <v>0</v>
      </c>
      <c r="BG50" s="120" t="str">
        <f t="shared" si="25"/>
        <v/>
      </c>
      <c r="BH50" s="120"/>
      <c r="BI50" s="120">
        <f t="shared" si="54"/>
        <v>0</v>
      </c>
      <c r="BJ50" s="268">
        <f t="shared" si="27"/>
        <v>0</v>
      </c>
      <c r="BK50" s="120">
        <f t="shared" si="55"/>
        <v>0</v>
      </c>
      <c r="BL50" s="120" t="str">
        <f t="shared" si="29"/>
        <v/>
      </c>
      <c r="BM50" s="266">
        <f t="shared" si="56"/>
        <v>0</v>
      </c>
      <c r="BN50" s="266">
        <f t="shared" si="57"/>
        <v>0</v>
      </c>
      <c r="BO50" s="266">
        <f t="shared" si="32"/>
        <v>0</v>
      </c>
      <c r="BP50" s="266" t="str">
        <f>IF(J50="","",(J50*Prezzi!$E$31)+L50)</f>
        <v/>
      </c>
      <c r="BQ50" s="120">
        <f t="shared" si="33"/>
        <v>0</v>
      </c>
      <c r="BR50" s="564">
        <f t="shared" si="34"/>
        <v>0</v>
      </c>
      <c r="BS50" s="120">
        <f t="shared" si="35"/>
        <v>0</v>
      </c>
      <c r="CA50"/>
    </row>
    <row r="51" spans="1:79" x14ac:dyDescent="0.15">
      <c r="A51" s="307">
        <v>48</v>
      </c>
      <c r="B51" s="282"/>
      <c r="C51" s="645"/>
      <c r="D51" s="646"/>
      <c r="E51" s="647"/>
      <c r="F51" s="645"/>
      <c r="G51" s="646"/>
      <c r="H51" s="647"/>
      <c r="I51" s="282"/>
      <c r="J51" s="795"/>
      <c r="K51" s="796"/>
      <c r="L51" s="784"/>
      <c r="M51" s="785"/>
      <c r="N51" s="786"/>
      <c r="O51" s="282"/>
      <c r="P51" s="610"/>
      <c r="Q51" s="362">
        <f t="shared" si="36"/>
        <v>0</v>
      </c>
      <c r="R51" s="363"/>
      <c r="S51" s="232">
        <f t="shared" si="17"/>
        <v>0</v>
      </c>
      <c r="T51" s="233"/>
      <c r="U51" s="233"/>
      <c r="V51" s="385" t="str">
        <f>IF(J51="","",IF(C51="Acquisti",F51,(Z51*Prezzi!$E$31)+L51))</f>
        <v/>
      </c>
      <c r="W51" s="431"/>
      <c r="X51" s="386"/>
      <c r="Y51" s="488" t="str">
        <f t="shared" si="37"/>
        <v/>
      </c>
      <c r="Z51" s="452">
        <f t="shared" si="40"/>
        <v>0</v>
      </c>
      <c r="AB51" s="266">
        <f t="shared" si="18"/>
        <v>0</v>
      </c>
      <c r="AC51" s="120">
        <f t="shared" si="41"/>
        <v>0</v>
      </c>
      <c r="AD51" s="122">
        <v>1</v>
      </c>
      <c r="AE51" s="120">
        <f>IF(C51=0,0,SUMIF(C51:C$53,C51,AD51:AD$53))</f>
        <v>0</v>
      </c>
      <c r="AF51" s="120">
        <f t="shared" si="42"/>
        <v>0</v>
      </c>
      <c r="AG51" s="120">
        <f t="shared" si="19"/>
        <v>0</v>
      </c>
      <c r="AH51" s="120">
        <f t="shared" si="43"/>
        <v>0</v>
      </c>
      <c r="AI51" s="120">
        <f t="shared" si="44"/>
        <v>0</v>
      </c>
      <c r="AJ51" s="120">
        <f t="shared" si="38"/>
        <v>0</v>
      </c>
      <c r="AK51" s="526">
        <f t="shared" si="45"/>
        <v>0</v>
      </c>
      <c r="AL51" s="120">
        <f t="shared" si="46"/>
        <v>0</v>
      </c>
      <c r="AM51" s="120" t="str">
        <f t="shared" si="47"/>
        <v/>
      </c>
      <c r="AN51" s="120"/>
      <c r="AP51" s="120">
        <f>IF(F51=0,0,SUMIF(F51:F$53,F51,AD51:AD$53))</f>
        <v>0</v>
      </c>
      <c r="AQ51" s="120">
        <f t="shared" si="48"/>
        <v>0</v>
      </c>
      <c r="AR51" s="120">
        <f t="shared" si="20"/>
        <v>0</v>
      </c>
      <c r="AS51" s="120">
        <f t="shared" si="49"/>
        <v>0</v>
      </c>
      <c r="AT51" s="120">
        <f t="shared" si="50"/>
        <v>0</v>
      </c>
      <c r="AU51" s="120">
        <f t="shared" si="21"/>
        <v>0</v>
      </c>
      <c r="AV51" s="120">
        <f t="shared" si="51"/>
        <v>0</v>
      </c>
      <c r="AW51" s="120">
        <f t="shared" si="52"/>
        <v>0</v>
      </c>
      <c r="AX51" s="120" t="str">
        <f t="shared" si="53"/>
        <v/>
      </c>
      <c r="AY51" s="120"/>
      <c r="AZ51" s="120"/>
      <c r="BA51" s="116"/>
      <c r="BB51" s="699">
        <f t="shared" si="22"/>
        <v>0</v>
      </c>
      <c r="BC51" s="699">
        <f t="shared" si="39"/>
        <v>0</v>
      </c>
      <c r="BD51" s="116"/>
      <c r="BE51" s="530" t="str">
        <f t="shared" si="23"/>
        <v/>
      </c>
      <c r="BF51" s="120">
        <f t="shared" si="24"/>
        <v>0</v>
      </c>
      <c r="BG51" s="120" t="str">
        <f t="shared" si="25"/>
        <v/>
      </c>
      <c r="BH51" s="120"/>
      <c r="BI51" s="120">
        <f t="shared" si="54"/>
        <v>0</v>
      </c>
      <c r="BJ51" s="268">
        <f t="shared" si="27"/>
        <v>0</v>
      </c>
      <c r="BK51" s="120">
        <f t="shared" si="55"/>
        <v>0</v>
      </c>
      <c r="BL51" s="120" t="str">
        <f t="shared" si="29"/>
        <v/>
      </c>
      <c r="BM51" s="266">
        <f t="shared" si="56"/>
        <v>0</v>
      </c>
      <c r="BN51" s="266">
        <f t="shared" si="57"/>
        <v>0</v>
      </c>
      <c r="BO51" s="266">
        <f t="shared" si="32"/>
        <v>0</v>
      </c>
      <c r="BP51" s="266" t="str">
        <f>IF(J51="","",(J51*Prezzi!$E$31)+L51)</f>
        <v/>
      </c>
      <c r="BQ51" s="120">
        <f t="shared" si="33"/>
        <v>0</v>
      </c>
      <c r="BR51" s="564">
        <f t="shared" si="34"/>
        <v>0</v>
      </c>
      <c r="BS51" s="120">
        <f t="shared" si="35"/>
        <v>0</v>
      </c>
      <c r="CA51"/>
    </row>
    <row r="52" spans="1:79" x14ac:dyDescent="0.15">
      <c r="A52" s="307">
        <v>49</v>
      </c>
      <c r="B52" s="282"/>
      <c r="C52" s="645"/>
      <c r="D52" s="646"/>
      <c r="E52" s="647"/>
      <c r="F52" s="645"/>
      <c r="G52" s="646"/>
      <c r="H52" s="647"/>
      <c r="I52" s="282"/>
      <c r="J52" s="795"/>
      <c r="K52" s="796"/>
      <c r="L52" s="784"/>
      <c r="M52" s="785"/>
      <c r="N52" s="786"/>
      <c r="O52" s="282"/>
      <c r="P52" s="610"/>
      <c r="Q52" s="362">
        <f t="shared" si="36"/>
        <v>0</v>
      </c>
      <c r="R52" s="363"/>
      <c r="S52" s="232">
        <f t="shared" si="17"/>
        <v>0</v>
      </c>
      <c r="T52" s="233"/>
      <c r="U52" s="233"/>
      <c r="V52" s="385" t="str">
        <f>IF(J52="","",IF(C52="Acquisti",F52,(Z52*Prezzi!$E$31)+L52))</f>
        <v/>
      </c>
      <c r="W52" s="431"/>
      <c r="X52" s="386"/>
      <c r="Y52" s="488" t="str">
        <f t="shared" si="37"/>
        <v/>
      </c>
      <c r="Z52" s="452">
        <f t="shared" si="40"/>
        <v>0</v>
      </c>
      <c r="AB52" s="266">
        <f t="shared" si="18"/>
        <v>0</v>
      </c>
      <c r="AC52" s="120">
        <f t="shared" si="41"/>
        <v>0</v>
      </c>
      <c r="AD52" s="122">
        <v>1</v>
      </c>
      <c r="AE52" s="120">
        <f>IF(C52=0,0,SUMIF(C52:C$53,C52,AD52:AD$53))</f>
        <v>0</v>
      </c>
      <c r="AF52" s="120">
        <f t="shared" si="42"/>
        <v>0</v>
      </c>
      <c r="AG52" s="120">
        <f t="shared" si="19"/>
        <v>0</v>
      </c>
      <c r="AH52" s="120">
        <f t="shared" si="43"/>
        <v>0</v>
      </c>
      <c r="AI52" s="120">
        <f t="shared" si="44"/>
        <v>0</v>
      </c>
      <c r="AJ52" s="120">
        <f t="shared" si="38"/>
        <v>0</v>
      </c>
      <c r="AK52" s="526">
        <f t="shared" si="45"/>
        <v>0</v>
      </c>
      <c r="AL52" s="120">
        <f t="shared" si="46"/>
        <v>0</v>
      </c>
      <c r="AM52" s="120" t="str">
        <f t="shared" si="47"/>
        <v/>
      </c>
      <c r="AN52" s="120"/>
      <c r="AP52" s="120">
        <f>IF(F52=0,0,SUMIF(F52:F$53,F52,AD52:AD$53))</f>
        <v>0</v>
      </c>
      <c r="AQ52" s="120">
        <f t="shared" si="48"/>
        <v>0</v>
      </c>
      <c r="AR52" s="120">
        <f t="shared" si="20"/>
        <v>0</v>
      </c>
      <c r="AS52" s="120">
        <f t="shared" si="49"/>
        <v>0</v>
      </c>
      <c r="AT52" s="120">
        <f t="shared" si="50"/>
        <v>0</v>
      </c>
      <c r="AU52" s="120">
        <f t="shared" si="21"/>
        <v>0</v>
      </c>
      <c r="AV52" s="120">
        <f t="shared" si="51"/>
        <v>0</v>
      </c>
      <c r="AW52" s="120">
        <f t="shared" si="52"/>
        <v>0</v>
      </c>
      <c r="AX52" s="120" t="str">
        <f t="shared" si="53"/>
        <v/>
      </c>
      <c r="AY52" s="120"/>
      <c r="AZ52" s="120"/>
      <c r="BA52" s="116"/>
      <c r="BB52" s="699">
        <f t="shared" si="22"/>
        <v>0</v>
      </c>
      <c r="BC52" s="699">
        <f t="shared" si="39"/>
        <v>0</v>
      </c>
      <c r="BD52" s="116"/>
      <c r="BE52" s="530" t="str">
        <f t="shared" si="23"/>
        <v/>
      </c>
      <c r="BF52" s="120">
        <f t="shared" si="24"/>
        <v>0</v>
      </c>
      <c r="BG52" s="120" t="str">
        <f t="shared" si="25"/>
        <v/>
      </c>
      <c r="BH52" s="120"/>
      <c r="BI52" s="120">
        <f t="shared" si="54"/>
        <v>0</v>
      </c>
      <c r="BJ52" s="268">
        <f t="shared" si="27"/>
        <v>0</v>
      </c>
      <c r="BK52" s="120">
        <f t="shared" si="55"/>
        <v>0</v>
      </c>
      <c r="BL52" s="120" t="str">
        <f t="shared" si="29"/>
        <v/>
      </c>
      <c r="BM52" s="266">
        <f t="shared" si="56"/>
        <v>0</v>
      </c>
      <c r="BN52" s="266">
        <f t="shared" si="57"/>
        <v>0</v>
      </c>
      <c r="BO52" s="266">
        <f t="shared" si="32"/>
        <v>0</v>
      </c>
      <c r="BP52" s="266" t="str">
        <f>IF(J52="","",(J52*Prezzi!$E$31)+L52)</f>
        <v/>
      </c>
      <c r="BQ52" s="120">
        <f t="shared" si="33"/>
        <v>0</v>
      </c>
      <c r="BR52" s="564">
        <f t="shared" si="34"/>
        <v>0</v>
      </c>
      <c r="BS52" s="120">
        <f t="shared" si="35"/>
        <v>0</v>
      </c>
      <c r="CA52"/>
    </row>
    <row r="53" spans="1:79" ht="14" thickBot="1" x14ac:dyDescent="0.2">
      <c r="A53" s="308">
        <v>50</v>
      </c>
      <c r="B53" s="649"/>
      <c r="C53" s="650"/>
      <c r="D53" s="651"/>
      <c r="E53" s="652"/>
      <c r="F53" s="650"/>
      <c r="G53" s="651"/>
      <c r="H53" s="652"/>
      <c r="I53" s="611"/>
      <c r="J53" s="797"/>
      <c r="K53" s="798"/>
      <c r="L53" s="812"/>
      <c r="M53" s="813"/>
      <c r="N53" s="814"/>
      <c r="O53" s="611"/>
      <c r="P53" s="614"/>
      <c r="Q53" s="362">
        <f t="shared" si="36"/>
        <v>0</v>
      </c>
      <c r="R53" s="363"/>
      <c r="S53" s="235">
        <f t="shared" si="17"/>
        <v>0</v>
      </c>
      <c r="T53" s="236"/>
      <c r="U53" s="317"/>
      <c r="V53" s="387" t="str">
        <f>IF(J53="","",IF(C53="Acquisti",F53,(Z53*Prezzi!$E$31)+L53))</f>
        <v/>
      </c>
      <c r="W53" s="432"/>
      <c r="X53" s="388"/>
      <c r="Y53" s="489" t="str">
        <f t="shared" si="37"/>
        <v/>
      </c>
      <c r="Z53" s="453">
        <f t="shared" si="40"/>
        <v>0</v>
      </c>
      <c r="AB53" s="266">
        <f t="shared" si="18"/>
        <v>0</v>
      </c>
      <c r="AC53" s="120">
        <f t="shared" si="41"/>
        <v>0</v>
      </c>
      <c r="AD53" s="561">
        <v>1</v>
      </c>
      <c r="AE53" s="120">
        <f>IF(C53=0,0,SUMIF(C53:C$53,C53,AD53:AD$53))</f>
        <v>0</v>
      </c>
      <c r="AF53" s="120">
        <f t="shared" si="42"/>
        <v>0</v>
      </c>
      <c r="AG53" s="120">
        <f t="shared" si="19"/>
        <v>0</v>
      </c>
      <c r="AH53" s="120">
        <f t="shared" si="43"/>
        <v>0</v>
      </c>
      <c r="AI53" s="120">
        <f t="shared" si="44"/>
        <v>0</v>
      </c>
      <c r="AJ53" s="120">
        <f t="shared" si="38"/>
        <v>0</v>
      </c>
      <c r="AK53" s="526">
        <f t="shared" si="45"/>
        <v>0</v>
      </c>
      <c r="AL53" s="120">
        <f t="shared" si="46"/>
        <v>0</v>
      </c>
      <c r="AM53" s="120" t="str">
        <f t="shared" si="47"/>
        <v/>
      </c>
      <c r="AN53" s="268"/>
      <c r="AO53" s="117"/>
      <c r="AP53" s="120">
        <f>IF(F53=0,0,SUMIF(F53:F$53,F53,AD53:AD$53))</f>
        <v>0</v>
      </c>
      <c r="AQ53" s="120">
        <f t="shared" si="48"/>
        <v>0</v>
      </c>
      <c r="AR53" s="120">
        <f t="shared" si="20"/>
        <v>0</v>
      </c>
      <c r="AS53" s="120">
        <f t="shared" si="49"/>
        <v>0</v>
      </c>
      <c r="AT53" s="120">
        <f t="shared" si="50"/>
        <v>0</v>
      </c>
      <c r="AU53" s="120">
        <f t="shared" si="21"/>
        <v>0</v>
      </c>
      <c r="AV53" s="120">
        <f t="shared" si="51"/>
        <v>0</v>
      </c>
      <c r="AW53" s="120">
        <f t="shared" si="52"/>
        <v>0</v>
      </c>
      <c r="AX53" s="120" t="str">
        <f t="shared" si="53"/>
        <v/>
      </c>
      <c r="AY53" s="120"/>
      <c r="AZ53" s="268"/>
      <c r="BA53" s="117"/>
      <c r="BB53" s="699">
        <f t="shared" si="22"/>
        <v>0</v>
      </c>
      <c r="BC53" s="699">
        <f t="shared" si="39"/>
        <v>0</v>
      </c>
      <c r="BD53" s="117"/>
      <c r="BE53" s="530" t="str">
        <f t="shared" si="23"/>
        <v/>
      </c>
      <c r="BF53" s="120">
        <f t="shared" si="24"/>
        <v>0</v>
      </c>
      <c r="BG53" s="120" t="str">
        <f t="shared" si="25"/>
        <v/>
      </c>
      <c r="BH53" s="120"/>
      <c r="BI53" s="120">
        <f t="shared" si="54"/>
        <v>0</v>
      </c>
      <c r="BJ53" s="268">
        <f t="shared" si="27"/>
        <v>0</v>
      </c>
      <c r="BK53" s="120">
        <f t="shared" si="55"/>
        <v>0</v>
      </c>
      <c r="BL53" s="120" t="str">
        <f t="shared" si="29"/>
        <v/>
      </c>
      <c r="BM53" s="266">
        <f t="shared" si="56"/>
        <v>0</v>
      </c>
      <c r="BN53" s="266">
        <f t="shared" si="57"/>
        <v>0</v>
      </c>
      <c r="BO53" s="266">
        <f t="shared" si="32"/>
        <v>0</v>
      </c>
      <c r="BP53" s="266" t="str">
        <f>IF(J53="","",(J53*Prezzi!$E$31)+L53)</f>
        <v/>
      </c>
      <c r="BQ53" s="120">
        <f t="shared" si="33"/>
        <v>0</v>
      </c>
      <c r="BR53" s="564">
        <f t="shared" si="34"/>
        <v>0</v>
      </c>
      <c r="BS53" s="120">
        <f t="shared" si="35"/>
        <v>0</v>
      </c>
      <c r="CA53"/>
    </row>
    <row r="54" spans="1:79" ht="14" thickBot="1" x14ac:dyDescent="0.2">
      <c r="I54" s="587"/>
      <c r="J54" s="587"/>
      <c r="K54" s="587"/>
      <c r="L54" s="587"/>
      <c r="M54" s="587"/>
      <c r="N54" s="587"/>
      <c r="O54" s="587"/>
      <c r="P54" s="670"/>
      <c r="Q54" s="364">
        <f>SUM(Q4:Q53)</f>
        <v>0</v>
      </c>
      <c r="R54" s="365"/>
      <c r="S54" s="394">
        <f>SUM(S4:S53)</f>
        <v>0</v>
      </c>
      <c r="T54" s="395"/>
      <c r="U54" s="396"/>
      <c r="V54" s="15" t="s">
        <v>232</v>
      </c>
      <c r="W54" s="117"/>
      <c r="X54" s="253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  <c r="AM54" s="268"/>
      <c r="AN54" s="268"/>
      <c r="AO54" s="117"/>
      <c r="AP54" s="268"/>
      <c r="AQ54" s="268"/>
      <c r="AR54" s="268"/>
      <c r="AS54" s="268"/>
      <c r="AT54" s="268"/>
      <c r="AU54" s="268"/>
      <c r="AV54" s="268"/>
      <c r="AW54" s="268"/>
      <c r="AX54" s="268"/>
      <c r="AY54" s="268"/>
      <c r="AZ54" s="268"/>
      <c r="BA54" s="117"/>
      <c r="BB54" s="700">
        <f>SUM(BB4:BC53)</f>
        <v>0</v>
      </c>
      <c r="BC54" s="700">
        <f>SUM(BC4:BD53)</f>
        <v>0</v>
      </c>
      <c r="BD54" s="117"/>
      <c r="BE54" s="268"/>
      <c r="BF54" s="268"/>
      <c r="BG54" s="268"/>
      <c r="BH54" s="268"/>
      <c r="BI54" s="268">
        <f t="shared" ref="BI54:BO54" si="58">SUM(BI4:BI53)</f>
        <v>0</v>
      </c>
      <c r="BJ54" s="268">
        <f t="shared" si="58"/>
        <v>0</v>
      </c>
      <c r="BK54" s="268">
        <f t="shared" si="58"/>
        <v>0</v>
      </c>
      <c r="BL54" s="268">
        <f t="shared" si="58"/>
        <v>0</v>
      </c>
      <c r="BM54" s="268">
        <f t="shared" si="58"/>
        <v>0</v>
      </c>
      <c r="BN54" s="275">
        <f t="shared" si="58"/>
        <v>0</v>
      </c>
      <c r="BO54" s="275">
        <f t="shared" si="58"/>
        <v>0</v>
      </c>
      <c r="BP54" s="275">
        <f>SUM(BP4:BP53)</f>
        <v>0</v>
      </c>
      <c r="BQ54" s="268">
        <f>SUM(BQ4:BQ53)</f>
        <v>0</v>
      </c>
      <c r="BR54" s="564">
        <f>SUM(BR4:BR53)</f>
        <v>0</v>
      </c>
      <c r="BS54" s="121">
        <f>SUM(BS4:BS53)</f>
        <v>0</v>
      </c>
    </row>
    <row r="55" spans="1:79" ht="14" thickBot="1" x14ac:dyDescent="0.2">
      <c r="B55" s="36" t="s">
        <v>233</v>
      </c>
      <c r="C55" s="36"/>
      <c r="D55" s="36"/>
      <c r="E55" s="95">
        <f>C205</f>
        <v>12</v>
      </c>
      <c r="F55" s="369"/>
      <c r="G55" s="369"/>
      <c r="H55" s="324"/>
      <c r="I55" s="110" t="s">
        <v>234</v>
      </c>
      <c r="J55" s="111"/>
      <c r="K55" s="111"/>
      <c r="L55" s="290"/>
      <c r="M55" s="110" t="s">
        <v>235</v>
      </c>
      <c r="N55" s="111"/>
      <c r="O55" s="111"/>
      <c r="P55" s="290"/>
      <c r="Q55" s="397">
        <f>Q54*E55</f>
        <v>0</v>
      </c>
      <c r="R55" s="398"/>
      <c r="S55" s="399">
        <f>S54*E55</f>
        <v>0</v>
      </c>
      <c r="T55" s="400"/>
      <c r="U55" s="401"/>
      <c r="V55" s="15" t="s">
        <v>236</v>
      </c>
      <c r="W55" s="117"/>
      <c r="X55" s="253"/>
      <c r="Z55" s="324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  <c r="AM55" s="268"/>
      <c r="AN55" s="268"/>
      <c r="AO55" s="117"/>
      <c r="AP55" s="268"/>
      <c r="AQ55" s="268"/>
      <c r="AR55" s="268"/>
      <c r="AS55" s="268"/>
      <c r="AT55" s="268"/>
      <c r="AU55" s="268"/>
      <c r="AV55" s="268"/>
      <c r="AW55" s="268"/>
      <c r="AX55" s="268"/>
      <c r="AY55" s="268"/>
      <c r="AZ55" s="268"/>
      <c r="BA55" s="117"/>
      <c r="BB55" s="562"/>
      <c r="BC55" s="562"/>
      <c r="BD55" s="117"/>
      <c r="BE55" s="268"/>
      <c r="BF55" s="268"/>
      <c r="BG55" s="268"/>
      <c r="BH55" s="268"/>
      <c r="BI55" s="268"/>
      <c r="BJ55" s="268"/>
      <c r="BK55" s="268"/>
      <c r="BL55" s="268">
        <f>IF(BI54=0,0,BL54/BI54)-1</f>
        <v>-1</v>
      </c>
      <c r="BM55" s="268"/>
      <c r="BN55" s="268"/>
      <c r="BO55" s="268"/>
      <c r="BP55" s="268"/>
      <c r="BQ55" s="268"/>
      <c r="BR55" s="120"/>
    </row>
    <row r="56" spans="1:79" x14ac:dyDescent="0.15">
      <c r="H56" s="36" t="s">
        <v>237</v>
      </c>
      <c r="I56" s="352">
        <f>BI54</f>
        <v>0</v>
      </c>
      <c r="J56" s="359"/>
      <c r="K56" s="359"/>
      <c r="L56" s="353"/>
      <c r="M56" s="352">
        <f>BL54</f>
        <v>0</v>
      </c>
      <c r="N56" s="359"/>
      <c r="O56" s="359"/>
      <c r="P56" s="353"/>
      <c r="Q56" s="373" t="s">
        <v>232</v>
      </c>
      <c r="R56" s="369"/>
      <c r="S56" s="369"/>
      <c r="T56" s="369"/>
      <c r="U56" s="369"/>
      <c r="V56" s="369"/>
      <c r="W56" s="369"/>
      <c r="X56" s="490" t="s">
        <v>405</v>
      </c>
      <c r="Y56" s="291">
        <v>1</v>
      </c>
      <c r="Z56" s="325"/>
    </row>
    <row r="57" spans="1:79" x14ac:dyDescent="0.15">
      <c r="E57" s="36"/>
      <c r="F57" s="36"/>
      <c r="G57" s="36"/>
      <c r="H57" s="36" t="s">
        <v>238</v>
      </c>
      <c r="I57" s="354">
        <f>IF(BI54=0,0,(BL54/BI54)-1)</f>
        <v>0</v>
      </c>
      <c r="J57" s="360"/>
      <c r="K57" s="360"/>
      <c r="L57" s="355"/>
      <c r="M57" s="232">
        <f>IF(M56=0,0,(S54/I56)*(M56-I56))</f>
        <v>0</v>
      </c>
      <c r="N57" s="233"/>
      <c r="O57" s="233"/>
      <c r="P57" s="314"/>
      <c r="Q57" s="374" t="s">
        <v>232</v>
      </c>
      <c r="R57" s="370"/>
      <c r="S57" s="370"/>
      <c r="T57" s="370"/>
      <c r="U57" s="370"/>
      <c r="V57" s="370"/>
      <c r="W57" s="370"/>
      <c r="X57" s="490" t="s">
        <v>406</v>
      </c>
      <c r="Y57" s="291">
        <v>2</v>
      </c>
    </row>
    <row r="58" spans="1:79" x14ac:dyDescent="0.15">
      <c r="E58" s="36"/>
      <c r="F58" s="36"/>
      <c r="G58" s="36"/>
      <c r="H58" s="36" t="s">
        <v>239</v>
      </c>
      <c r="I58" s="138">
        <f>IF(S54=0,0,(S54/BP54)-1)</f>
        <v>0</v>
      </c>
      <c r="J58" s="140"/>
      <c r="K58" s="140"/>
      <c r="L58" s="345"/>
      <c r="M58" s="239">
        <f>S54-BP54</f>
        <v>0</v>
      </c>
      <c r="N58" s="389"/>
      <c r="O58" s="389"/>
      <c r="P58" s="390"/>
      <c r="Q58" s="375" t="s">
        <v>232</v>
      </c>
      <c r="R58" s="371"/>
      <c r="S58" s="371"/>
      <c r="T58" s="371"/>
      <c r="U58" s="371"/>
      <c r="V58" s="371"/>
      <c r="W58" s="371"/>
      <c r="X58" s="490" t="s">
        <v>407</v>
      </c>
      <c r="Y58" s="291">
        <v>3</v>
      </c>
      <c r="Z58" s="326"/>
    </row>
    <row r="59" spans="1:79" x14ac:dyDescent="0.15">
      <c r="E59" s="36"/>
      <c r="F59" s="36"/>
      <c r="G59" s="36"/>
      <c r="H59" s="350" t="s">
        <v>240</v>
      </c>
      <c r="I59" s="356">
        <f>IF(SUM(V4:V53)=0,0,SUM(V4:V53)/(50-COUNTBLANK(V4:V53)))</f>
        <v>0</v>
      </c>
      <c r="J59" s="361"/>
      <c r="K59" s="361"/>
      <c r="L59" s="357"/>
      <c r="M59" s="391">
        <f>IF(AI1=2,Prezzi!O19/Prezzi!N28,0)</f>
        <v>0</v>
      </c>
      <c r="N59" s="392"/>
      <c r="O59" s="392"/>
      <c r="P59" s="393"/>
      <c r="Q59" s="1" t="s">
        <v>505</v>
      </c>
      <c r="R59" s="372"/>
      <c r="S59" s="372"/>
      <c r="T59" s="372"/>
      <c r="U59" s="372"/>
      <c r="V59" s="372"/>
      <c r="W59" s="372"/>
      <c r="Y59" s="718" t="s">
        <v>504</v>
      </c>
      <c r="Z59" s="327"/>
    </row>
    <row r="60" spans="1:79" ht="16" x14ac:dyDescent="0.2">
      <c r="E60" s="36"/>
      <c r="F60" s="36"/>
      <c r="G60" s="36"/>
      <c r="H60" s="350"/>
      <c r="I60" s="402"/>
      <c r="J60" s="402"/>
      <c r="K60" s="402"/>
      <c r="L60" s="402"/>
      <c r="M60" s="253"/>
      <c r="N60" s="253"/>
      <c r="O60" s="253"/>
      <c r="P60" s="116"/>
      <c r="Q60" s="372"/>
      <c r="R60" s="372"/>
      <c r="S60" s="372"/>
      <c r="T60" s="372"/>
      <c r="U60" s="372"/>
      <c r="V60" s="372"/>
      <c r="W60" s="372"/>
      <c r="Y60" s="714" t="str">
        <f>MID([1]Persona!$D$12,1,25)</f>
        <v/>
      </c>
      <c r="Z60" s="327"/>
    </row>
    <row r="61" spans="1:79" ht="20" x14ac:dyDescent="0.2">
      <c r="A61" s="76" t="s">
        <v>427</v>
      </c>
      <c r="E61" s="36"/>
      <c r="F61" s="36"/>
      <c r="G61" s="36"/>
      <c r="H61" s="350"/>
      <c r="I61" s="402"/>
      <c r="J61" s="402"/>
      <c r="K61" s="402"/>
      <c r="L61" s="402"/>
      <c r="M61" s="253"/>
      <c r="N61" s="253"/>
      <c r="O61" s="253"/>
      <c r="P61" s="116"/>
      <c r="Q61" s="372"/>
      <c r="R61" s="372"/>
      <c r="S61" s="372"/>
      <c r="T61" s="372"/>
      <c r="U61" s="372"/>
      <c r="V61" s="372"/>
      <c r="W61" s="372"/>
      <c r="Z61" s="327"/>
    </row>
    <row r="62" spans="1:79" x14ac:dyDescent="0.15">
      <c r="E62" s="36"/>
      <c r="F62" s="36"/>
      <c r="G62" s="36"/>
      <c r="H62" s="350"/>
      <c r="I62" s="402"/>
      <c r="J62" s="402"/>
      <c r="K62" s="402"/>
      <c r="L62" s="402"/>
      <c r="M62" s="253"/>
      <c r="N62" s="253"/>
      <c r="O62" s="253"/>
      <c r="P62" s="116"/>
      <c r="Q62" s="372"/>
      <c r="R62" s="372"/>
      <c r="S62" s="372"/>
      <c r="T62" s="372"/>
      <c r="U62" s="372"/>
      <c r="V62" s="372"/>
      <c r="W62" s="372"/>
      <c r="Z62" s="327"/>
    </row>
    <row r="63" spans="1:79" ht="48.75" customHeight="1" thickBot="1" x14ac:dyDescent="0.2">
      <c r="B63" s="455" t="s">
        <v>426</v>
      </c>
      <c r="C63" s="454" t="str">
        <f>R65</f>
        <v/>
      </c>
      <c r="D63" s="454" t="str">
        <f>R66</f>
        <v/>
      </c>
      <c r="E63" s="454" t="str">
        <f>R67</f>
        <v/>
      </c>
      <c r="F63" s="454" t="str">
        <f>R68</f>
        <v/>
      </c>
      <c r="G63" s="454" t="str">
        <f>R69</f>
        <v/>
      </c>
      <c r="H63" s="454" t="str">
        <f>R70</f>
        <v/>
      </c>
      <c r="I63" s="454" t="str">
        <f>R71</f>
        <v/>
      </c>
      <c r="J63" s="454" t="str">
        <f>R72</f>
        <v/>
      </c>
      <c r="K63" s="454" t="str">
        <f>R73</f>
        <v/>
      </c>
      <c r="L63" s="454" t="str">
        <f>R74</f>
        <v/>
      </c>
      <c r="M63" s="454" t="str">
        <f>R75</f>
        <v/>
      </c>
      <c r="N63" s="454" t="str">
        <f>R76</f>
        <v/>
      </c>
      <c r="O63" s="454" t="str">
        <f>R77</f>
        <v/>
      </c>
      <c r="P63" s="454" t="str">
        <f>R78</f>
        <v/>
      </c>
      <c r="Q63" s="454" t="str">
        <f>R79</f>
        <v/>
      </c>
      <c r="R63" s="372"/>
      <c r="S63" s="372"/>
      <c r="T63" s="372"/>
      <c r="U63" s="372"/>
      <c r="V63" s="787" t="s">
        <v>392</v>
      </c>
      <c r="W63" s="787" t="s">
        <v>393</v>
      </c>
      <c r="Z63" s="327"/>
      <c r="AB63" s="120" t="s">
        <v>454</v>
      </c>
      <c r="AC63" s="120" t="s">
        <v>224</v>
      </c>
      <c r="AD63" s="120"/>
      <c r="AE63" s="120"/>
      <c r="AF63" s="120" t="s">
        <v>217</v>
      </c>
      <c r="AG63" s="120" t="s">
        <v>218</v>
      </c>
      <c r="AH63" s="268" t="s">
        <v>425</v>
      </c>
      <c r="AI63" s="268" t="s">
        <v>225</v>
      </c>
      <c r="AJ63" s="268" t="s">
        <v>148</v>
      </c>
      <c r="AK63" s="300" t="s">
        <v>226</v>
      </c>
      <c r="AL63" s="120"/>
      <c r="AM63" s="120" t="s">
        <v>457</v>
      </c>
      <c r="AN63" s="120"/>
      <c r="AO63" s="120" t="s">
        <v>458</v>
      </c>
      <c r="AP63" s="120"/>
      <c r="AR63" s="120" t="s">
        <v>495</v>
      </c>
      <c r="AS63" s="120"/>
      <c r="AT63" s="120"/>
      <c r="AU63" s="120"/>
    </row>
    <row r="64" spans="1:79" ht="13.5" customHeight="1" thickBot="1" x14ac:dyDescent="0.2">
      <c r="A64" s="30" t="s">
        <v>144</v>
      </c>
      <c r="B64" s="31" t="s">
        <v>251</v>
      </c>
      <c r="C64" s="30" t="str">
        <f>IF(U65="","N",U65)</f>
        <v>N</v>
      </c>
      <c r="D64" s="30" t="str">
        <f>IF(U66="","N",U66)</f>
        <v>N</v>
      </c>
      <c r="E64" s="30" t="str">
        <f>IF(U67="","N",U67)</f>
        <v>N</v>
      </c>
      <c r="F64" s="30" t="str">
        <f>IF(U68="","N",U68)</f>
        <v>N</v>
      </c>
      <c r="G64" s="30" t="str">
        <f>IF(U69="","N",U69)</f>
        <v>N</v>
      </c>
      <c r="H64" s="30" t="str">
        <f>IF(U70="","N",U70)</f>
        <v>N</v>
      </c>
      <c r="I64" s="30" t="str">
        <f>IF(U71="","N",U71)</f>
        <v>N</v>
      </c>
      <c r="J64" s="30" t="str">
        <f>IF(U72="","N",U72)</f>
        <v>N</v>
      </c>
      <c r="K64" s="30" t="str">
        <f>IF(U73="","N",U73)</f>
        <v>N</v>
      </c>
      <c r="L64" s="30" t="str">
        <f>IF(U74="","N",U74)</f>
        <v>N</v>
      </c>
      <c r="M64" s="30" t="str">
        <f>IF(U75="","N",U75)</f>
        <v>N</v>
      </c>
      <c r="N64" s="30" t="str">
        <f>IF(U76="","N",U76)</f>
        <v>N</v>
      </c>
      <c r="O64" s="30" t="str">
        <f>IF(U77="","N",U77)</f>
        <v>N</v>
      </c>
      <c r="P64" s="30" t="str">
        <f>IF(U78="","N",U78)</f>
        <v>N</v>
      </c>
      <c r="Q64" s="30" t="str">
        <f>IF(U79="","N",U79)</f>
        <v>N</v>
      </c>
      <c r="R64" s="404" t="s">
        <v>210</v>
      </c>
      <c r="S64" s="405"/>
      <c r="T64" s="406"/>
      <c r="U64" s="32"/>
      <c r="V64" s="788"/>
      <c r="W64" s="788"/>
      <c r="Z64" s="327"/>
      <c r="AB64" s="560" t="str">
        <f t="shared" ref="AB64:AB87" si="59">IF(AV4=0,"",AV4)</f>
        <v/>
      </c>
      <c r="AC64" s="120">
        <f t="shared" ref="AC64:AC86" si="60">AW4</f>
        <v>0</v>
      </c>
      <c r="AD64" s="120" t="str">
        <f t="shared" ref="AD64:AD86" si="61">AX4</f>
        <v/>
      </c>
      <c r="AE64" s="120"/>
      <c r="AF64" s="120">
        <f t="shared" ref="AF64:AF86" si="62">SUMIF(F$4:F$53,AD64,O$4:O$53)</f>
        <v>0</v>
      </c>
      <c r="AG64" s="120">
        <f t="shared" ref="AG64:AG86" si="63">SUMIF(F$4:F$53,AD64,P$4:P$53)</f>
        <v>0</v>
      </c>
      <c r="AH64" s="120">
        <f t="shared" ref="AH64:AH86" si="64">SUMIF(F$4:F$53,AD64,AC$4:AC$53)</f>
        <v>0</v>
      </c>
      <c r="AI64" s="268" t="str">
        <f>IF(AD64="","",IF(AG64=0,AF64+AH64,AG64+AH64))</f>
        <v/>
      </c>
      <c r="AJ64" s="120">
        <f t="shared" ref="AJ64:AJ86" si="65">SUMIF(F$4:F$53,AD64,AB$4:AB$53)</f>
        <v>0</v>
      </c>
      <c r="AK64" s="815">
        <f>SUMIF(F$4:F$53,AD64,BB$4:BB$53)</f>
        <v>0</v>
      </c>
      <c r="AL64" s="815"/>
      <c r="AM64" s="816">
        <f>SUMIF(F$4:F$53,AD64,BR$4:BR$53)</f>
        <v>0</v>
      </c>
      <c r="AN64" s="816"/>
      <c r="AO64" s="816">
        <f>AM64-AK64</f>
        <v>0</v>
      </c>
      <c r="AP64" s="816"/>
      <c r="AR64" s="120"/>
      <c r="AS64" s="120"/>
      <c r="AT64" s="120"/>
      <c r="AU64" s="120"/>
    </row>
    <row r="65" spans="1:47" x14ac:dyDescent="0.15">
      <c r="A65" s="307">
        <v>1</v>
      </c>
      <c r="B65" s="282"/>
      <c r="C65" s="653"/>
      <c r="D65" s="653"/>
      <c r="E65" s="653"/>
      <c r="F65" s="653"/>
      <c r="G65" s="653"/>
      <c r="H65" s="653"/>
      <c r="I65" s="653"/>
      <c r="J65" s="653"/>
      <c r="K65" s="653"/>
      <c r="L65" s="654"/>
      <c r="M65" s="654"/>
      <c r="N65" s="654"/>
      <c r="O65" s="654"/>
      <c r="P65" s="654"/>
      <c r="Q65" s="654"/>
      <c r="R65" s="407" t="str">
        <f>BG4</f>
        <v/>
      </c>
      <c r="S65" s="408"/>
      <c r="T65" s="408"/>
      <c r="U65" s="411" t="str">
        <f>IF(AK4=0,"",AK4)</f>
        <v/>
      </c>
      <c r="V65" s="421">
        <f t="shared" ref="V65:V79" si="66">COUNTIF(C65:Q65,"c")</f>
        <v>0</v>
      </c>
      <c r="W65" s="456">
        <f t="shared" ref="W65:W79" si="67">COUNTIF(C65:Q65,"s")</f>
        <v>0</v>
      </c>
      <c r="Z65" s="327"/>
      <c r="AB65" s="560" t="str">
        <f t="shared" si="59"/>
        <v/>
      </c>
      <c r="AC65" s="120">
        <f t="shared" si="60"/>
        <v>0</v>
      </c>
      <c r="AD65" s="120" t="str">
        <f t="shared" si="61"/>
        <v/>
      </c>
      <c r="AE65" s="120"/>
      <c r="AF65" s="120">
        <f t="shared" si="62"/>
        <v>0</v>
      </c>
      <c r="AG65" s="120">
        <f t="shared" si="63"/>
        <v>0</v>
      </c>
      <c r="AH65" s="120">
        <f t="shared" si="64"/>
        <v>0</v>
      </c>
      <c r="AI65" s="268" t="str">
        <f t="shared" ref="AI65:AI86" si="68">IF(AD65="","",IF(AG65=0,AF65+AH65,AG65+AH65))</f>
        <v/>
      </c>
      <c r="AJ65" s="120">
        <f t="shared" si="65"/>
        <v>0</v>
      </c>
      <c r="AK65" s="815">
        <f>SUMIF(F$4:F$53,AD65,BB$4:BB$53)</f>
        <v>0</v>
      </c>
      <c r="AL65" s="815"/>
      <c r="AM65" s="816">
        <f t="shared" ref="AM65:AM86" si="69">SUMIF(F$4:F$53,AD65,BR$4:BR$53)</f>
        <v>0</v>
      </c>
      <c r="AN65" s="816"/>
      <c r="AO65" s="816">
        <f t="shared" ref="AO65:AO86" si="70">AM65-AK65</f>
        <v>0</v>
      </c>
      <c r="AP65" s="816"/>
      <c r="AR65" s="120">
        <f>COUNTIF(C65:Q65,"s")</f>
        <v>0</v>
      </c>
      <c r="AS65" s="120">
        <f>COUNTIF(C65:Q65,"C")</f>
        <v>0</v>
      </c>
      <c r="AT65" s="120">
        <f>COUNTBLANK(C65:Q65)</f>
        <v>15</v>
      </c>
      <c r="AU65" s="120">
        <f>SUM(AR65:AT65)</f>
        <v>15</v>
      </c>
    </row>
    <row r="66" spans="1:47" x14ac:dyDescent="0.15">
      <c r="A66" s="307">
        <v>2</v>
      </c>
      <c r="B66" s="282"/>
      <c r="C66" s="653"/>
      <c r="D66" s="653"/>
      <c r="E66" s="653"/>
      <c r="F66" s="653"/>
      <c r="G66" s="653"/>
      <c r="H66" s="653"/>
      <c r="I66" s="653"/>
      <c r="J66" s="653"/>
      <c r="K66" s="653"/>
      <c r="L66" s="654"/>
      <c r="M66" s="654"/>
      <c r="N66" s="654"/>
      <c r="O66" s="654"/>
      <c r="P66" s="654"/>
      <c r="Q66" s="654"/>
      <c r="R66" s="410" t="str">
        <f>BG5</f>
        <v/>
      </c>
      <c r="S66" s="409"/>
      <c r="T66" s="409"/>
      <c r="U66" s="412" t="str">
        <f>IF(AK5=0,"",AK5)</f>
        <v/>
      </c>
      <c r="V66" s="421">
        <f t="shared" si="66"/>
        <v>0</v>
      </c>
      <c r="W66" s="457">
        <f t="shared" si="67"/>
        <v>0</v>
      </c>
      <c r="Z66" s="327"/>
      <c r="AB66" s="560" t="str">
        <f t="shared" si="59"/>
        <v/>
      </c>
      <c r="AC66" s="120">
        <f t="shared" si="60"/>
        <v>0</v>
      </c>
      <c r="AD66" s="120" t="str">
        <f t="shared" si="61"/>
        <v/>
      </c>
      <c r="AE66" s="120"/>
      <c r="AF66" s="120">
        <f t="shared" si="62"/>
        <v>0</v>
      </c>
      <c r="AG66" s="120">
        <f t="shared" si="63"/>
        <v>0</v>
      </c>
      <c r="AH66" s="120">
        <f t="shared" si="64"/>
        <v>0</v>
      </c>
      <c r="AI66" s="268" t="str">
        <f t="shared" si="68"/>
        <v/>
      </c>
      <c r="AJ66" s="120">
        <f t="shared" si="65"/>
        <v>0</v>
      </c>
      <c r="AK66" s="815">
        <f t="shared" ref="AK66:AK86" si="71">SUMIF(F$4:F$53,AD66,BB$4:BB$53)</f>
        <v>0</v>
      </c>
      <c r="AL66" s="815"/>
      <c r="AM66" s="816">
        <f t="shared" si="69"/>
        <v>0</v>
      </c>
      <c r="AN66" s="816"/>
      <c r="AO66" s="816">
        <f t="shared" si="70"/>
        <v>0</v>
      </c>
      <c r="AP66" s="816"/>
      <c r="AR66" s="120">
        <f t="shared" ref="AR66:AR79" si="72">COUNTIF(C66:Q66,"s")</f>
        <v>0</v>
      </c>
      <c r="AS66" s="120">
        <f t="shared" ref="AS66:AS79" si="73">COUNTIF(C66:Q66,"C")</f>
        <v>0</v>
      </c>
      <c r="AT66" s="120">
        <f t="shared" ref="AT66:AT79" si="74">COUNTBLANK(C66:Q66)</f>
        <v>15</v>
      </c>
      <c r="AU66" s="120">
        <f t="shared" ref="AU66:AU79" si="75">SUM(AR66:AT66)</f>
        <v>15</v>
      </c>
    </row>
    <row r="67" spans="1:47" x14ac:dyDescent="0.15">
      <c r="A67" s="307">
        <v>3</v>
      </c>
      <c r="B67" s="282"/>
      <c r="C67" s="653"/>
      <c r="D67" s="653"/>
      <c r="E67" s="653"/>
      <c r="F67" s="653"/>
      <c r="G67" s="653"/>
      <c r="H67" s="653"/>
      <c r="I67" s="653"/>
      <c r="J67" s="653"/>
      <c r="K67" s="653"/>
      <c r="L67" s="654"/>
      <c r="M67" s="654"/>
      <c r="N67" s="654"/>
      <c r="O67" s="654"/>
      <c r="P67" s="654"/>
      <c r="Q67" s="654"/>
      <c r="R67" s="410" t="str">
        <f t="shared" ref="R67:R79" si="76">BG6</f>
        <v/>
      </c>
      <c r="S67" s="409"/>
      <c r="T67" s="409"/>
      <c r="U67" s="412" t="str">
        <f t="shared" ref="U67:U79" si="77">IF(AK6=0,"",AK6)</f>
        <v/>
      </c>
      <c r="V67" s="421">
        <f t="shared" si="66"/>
        <v>0</v>
      </c>
      <c r="W67" s="457">
        <f t="shared" si="67"/>
        <v>0</v>
      </c>
      <c r="Z67" s="327"/>
      <c r="AB67" s="560" t="str">
        <f t="shared" si="59"/>
        <v/>
      </c>
      <c r="AC67" s="120">
        <f t="shared" si="60"/>
        <v>0</v>
      </c>
      <c r="AD67" s="120" t="str">
        <f t="shared" si="61"/>
        <v/>
      </c>
      <c r="AE67" s="120"/>
      <c r="AF67" s="120">
        <f t="shared" si="62"/>
        <v>0</v>
      </c>
      <c r="AG67" s="120">
        <f t="shared" si="63"/>
        <v>0</v>
      </c>
      <c r="AH67" s="120">
        <f t="shared" si="64"/>
        <v>0</v>
      </c>
      <c r="AI67" s="268" t="str">
        <f t="shared" si="68"/>
        <v/>
      </c>
      <c r="AJ67" s="120">
        <f t="shared" si="65"/>
        <v>0</v>
      </c>
      <c r="AK67" s="815">
        <f t="shared" si="71"/>
        <v>0</v>
      </c>
      <c r="AL67" s="815"/>
      <c r="AM67" s="816">
        <f t="shared" si="69"/>
        <v>0</v>
      </c>
      <c r="AN67" s="816"/>
      <c r="AO67" s="816">
        <f t="shared" si="70"/>
        <v>0</v>
      </c>
      <c r="AP67" s="816"/>
      <c r="AR67" s="120">
        <f t="shared" si="72"/>
        <v>0</v>
      </c>
      <c r="AS67" s="120">
        <f t="shared" si="73"/>
        <v>0</v>
      </c>
      <c r="AT67" s="120">
        <f t="shared" si="74"/>
        <v>15</v>
      </c>
      <c r="AU67" s="120">
        <f t="shared" si="75"/>
        <v>15</v>
      </c>
    </row>
    <row r="68" spans="1:47" x14ac:dyDescent="0.15">
      <c r="A68" s="307">
        <v>4</v>
      </c>
      <c r="B68" s="282"/>
      <c r="C68" s="653"/>
      <c r="D68" s="653"/>
      <c r="E68" s="653"/>
      <c r="F68" s="653"/>
      <c r="G68" s="653"/>
      <c r="H68" s="653"/>
      <c r="I68" s="653"/>
      <c r="J68" s="653"/>
      <c r="K68" s="653"/>
      <c r="L68" s="654"/>
      <c r="M68" s="654"/>
      <c r="N68" s="654"/>
      <c r="O68" s="654"/>
      <c r="P68" s="654"/>
      <c r="Q68" s="654"/>
      <c r="R68" s="410" t="str">
        <f t="shared" si="76"/>
        <v/>
      </c>
      <c r="S68" s="409"/>
      <c r="T68" s="409"/>
      <c r="U68" s="412" t="str">
        <f t="shared" si="77"/>
        <v/>
      </c>
      <c r="V68" s="421">
        <f t="shared" si="66"/>
        <v>0</v>
      </c>
      <c r="W68" s="457">
        <f t="shared" si="67"/>
        <v>0</v>
      </c>
      <c r="Z68" s="327"/>
      <c r="AB68" s="560" t="str">
        <f t="shared" si="59"/>
        <v/>
      </c>
      <c r="AC68" s="120">
        <f t="shared" si="60"/>
        <v>0</v>
      </c>
      <c r="AD68" s="120" t="str">
        <f t="shared" si="61"/>
        <v/>
      </c>
      <c r="AE68" s="120"/>
      <c r="AF68" s="120">
        <f t="shared" si="62"/>
        <v>0</v>
      </c>
      <c r="AG68" s="120">
        <f t="shared" si="63"/>
        <v>0</v>
      </c>
      <c r="AH68" s="120">
        <f t="shared" si="64"/>
        <v>0</v>
      </c>
      <c r="AI68" s="268" t="str">
        <f t="shared" si="68"/>
        <v/>
      </c>
      <c r="AJ68" s="120">
        <f t="shared" si="65"/>
        <v>0</v>
      </c>
      <c r="AK68" s="815">
        <f t="shared" si="71"/>
        <v>0</v>
      </c>
      <c r="AL68" s="815"/>
      <c r="AM68" s="816">
        <f t="shared" si="69"/>
        <v>0</v>
      </c>
      <c r="AN68" s="816"/>
      <c r="AO68" s="816">
        <f t="shared" si="70"/>
        <v>0</v>
      </c>
      <c r="AP68" s="816"/>
      <c r="AR68" s="120">
        <f t="shared" si="72"/>
        <v>0</v>
      </c>
      <c r="AS68" s="120">
        <f t="shared" si="73"/>
        <v>0</v>
      </c>
      <c r="AT68" s="120">
        <f t="shared" si="74"/>
        <v>15</v>
      </c>
      <c r="AU68" s="120">
        <f t="shared" si="75"/>
        <v>15</v>
      </c>
    </row>
    <row r="69" spans="1:47" x14ac:dyDescent="0.15">
      <c r="A69" s="307">
        <v>5</v>
      </c>
      <c r="B69" s="282"/>
      <c r="C69" s="653"/>
      <c r="D69" s="653"/>
      <c r="E69" s="653"/>
      <c r="F69" s="653"/>
      <c r="G69" s="653"/>
      <c r="H69" s="653"/>
      <c r="I69" s="653"/>
      <c r="J69" s="653"/>
      <c r="K69" s="653"/>
      <c r="L69" s="654"/>
      <c r="M69" s="654"/>
      <c r="N69" s="654"/>
      <c r="O69" s="654"/>
      <c r="P69" s="654"/>
      <c r="Q69" s="654"/>
      <c r="R69" s="410" t="str">
        <f t="shared" si="76"/>
        <v/>
      </c>
      <c r="S69" s="409"/>
      <c r="T69" s="409"/>
      <c r="U69" s="412" t="str">
        <f t="shared" si="77"/>
        <v/>
      </c>
      <c r="V69" s="421">
        <f t="shared" si="66"/>
        <v>0</v>
      </c>
      <c r="W69" s="457">
        <f t="shared" si="67"/>
        <v>0</v>
      </c>
      <c r="Z69" s="327"/>
      <c r="AB69" s="560" t="str">
        <f t="shared" si="59"/>
        <v/>
      </c>
      <c r="AC69" s="120">
        <f t="shared" si="60"/>
        <v>0</v>
      </c>
      <c r="AD69" s="120" t="str">
        <f t="shared" si="61"/>
        <v/>
      </c>
      <c r="AE69" s="120"/>
      <c r="AF69" s="120">
        <f t="shared" si="62"/>
        <v>0</v>
      </c>
      <c r="AG69" s="120">
        <f t="shared" si="63"/>
        <v>0</v>
      </c>
      <c r="AH69" s="120">
        <f t="shared" si="64"/>
        <v>0</v>
      </c>
      <c r="AI69" s="268" t="str">
        <f t="shared" si="68"/>
        <v/>
      </c>
      <c r="AJ69" s="120">
        <f t="shared" si="65"/>
        <v>0</v>
      </c>
      <c r="AK69" s="815">
        <f t="shared" si="71"/>
        <v>0</v>
      </c>
      <c r="AL69" s="815"/>
      <c r="AM69" s="816">
        <f t="shared" si="69"/>
        <v>0</v>
      </c>
      <c r="AN69" s="816"/>
      <c r="AO69" s="816">
        <f t="shared" si="70"/>
        <v>0</v>
      </c>
      <c r="AP69" s="816"/>
      <c r="AR69" s="120">
        <f t="shared" si="72"/>
        <v>0</v>
      </c>
      <c r="AS69" s="120">
        <f t="shared" si="73"/>
        <v>0</v>
      </c>
      <c r="AT69" s="120">
        <f t="shared" si="74"/>
        <v>15</v>
      </c>
      <c r="AU69" s="120">
        <f t="shared" si="75"/>
        <v>15</v>
      </c>
    </row>
    <row r="70" spans="1:47" x14ac:dyDescent="0.15">
      <c r="A70" s="307">
        <v>6</v>
      </c>
      <c r="B70" s="282"/>
      <c r="C70" s="653"/>
      <c r="D70" s="653"/>
      <c r="E70" s="653"/>
      <c r="F70" s="653"/>
      <c r="G70" s="653"/>
      <c r="H70" s="653"/>
      <c r="I70" s="653"/>
      <c r="J70" s="653"/>
      <c r="K70" s="653"/>
      <c r="L70" s="654"/>
      <c r="M70" s="654"/>
      <c r="N70" s="654"/>
      <c r="O70" s="654"/>
      <c r="P70" s="654"/>
      <c r="Q70" s="654"/>
      <c r="R70" s="410" t="str">
        <f t="shared" si="76"/>
        <v/>
      </c>
      <c r="S70" s="409"/>
      <c r="T70" s="409"/>
      <c r="U70" s="412" t="str">
        <f t="shared" si="77"/>
        <v/>
      </c>
      <c r="V70" s="421">
        <f t="shared" si="66"/>
        <v>0</v>
      </c>
      <c r="W70" s="457">
        <f t="shared" si="67"/>
        <v>0</v>
      </c>
      <c r="AB70" s="560" t="str">
        <f t="shared" si="59"/>
        <v/>
      </c>
      <c r="AC70" s="120">
        <f t="shared" si="60"/>
        <v>0</v>
      </c>
      <c r="AD70" s="120" t="str">
        <f t="shared" si="61"/>
        <v/>
      </c>
      <c r="AE70" s="120"/>
      <c r="AF70" s="120">
        <f t="shared" si="62"/>
        <v>0</v>
      </c>
      <c r="AG70" s="120">
        <f t="shared" si="63"/>
        <v>0</v>
      </c>
      <c r="AH70" s="120">
        <f t="shared" si="64"/>
        <v>0</v>
      </c>
      <c r="AI70" s="268" t="str">
        <f t="shared" si="68"/>
        <v/>
      </c>
      <c r="AJ70" s="120">
        <f t="shared" si="65"/>
        <v>0</v>
      </c>
      <c r="AK70" s="815">
        <f t="shared" si="71"/>
        <v>0</v>
      </c>
      <c r="AL70" s="815"/>
      <c r="AM70" s="816">
        <f t="shared" si="69"/>
        <v>0</v>
      </c>
      <c r="AN70" s="816"/>
      <c r="AO70" s="816">
        <f t="shared" si="70"/>
        <v>0</v>
      </c>
      <c r="AP70" s="816"/>
      <c r="AR70" s="120">
        <f t="shared" si="72"/>
        <v>0</v>
      </c>
      <c r="AS70" s="120">
        <f t="shared" si="73"/>
        <v>0</v>
      </c>
      <c r="AT70" s="120">
        <f t="shared" si="74"/>
        <v>15</v>
      </c>
      <c r="AU70" s="120">
        <f t="shared" si="75"/>
        <v>15</v>
      </c>
    </row>
    <row r="71" spans="1:47" x14ac:dyDescent="0.15">
      <c r="A71" s="307">
        <v>7</v>
      </c>
      <c r="B71" s="282"/>
      <c r="C71" s="653"/>
      <c r="D71" s="653"/>
      <c r="E71" s="653"/>
      <c r="F71" s="653"/>
      <c r="G71" s="653"/>
      <c r="H71" s="653"/>
      <c r="I71" s="653"/>
      <c r="J71" s="653"/>
      <c r="K71" s="653"/>
      <c r="L71" s="654"/>
      <c r="M71" s="654"/>
      <c r="N71" s="654"/>
      <c r="O71" s="654"/>
      <c r="P71" s="654"/>
      <c r="Q71" s="654"/>
      <c r="R71" s="410" t="str">
        <f t="shared" si="76"/>
        <v/>
      </c>
      <c r="S71" s="409"/>
      <c r="T71" s="409"/>
      <c r="U71" s="412" t="str">
        <f t="shared" si="77"/>
        <v/>
      </c>
      <c r="V71" s="421">
        <f t="shared" si="66"/>
        <v>0</v>
      </c>
      <c r="W71" s="457">
        <f t="shared" si="67"/>
        <v>0</v>
      </c>
      <c r="Z71" s="327"/>
      <c r="AB71" s="560" t="str">
        <f t="shared" si="59"/>
        <v/>
      </c>
      <c r="AC71" s="120">
        <f t="shared" si="60"/>
        <v>0</v>
      </c>
      <c r="AD71" s="120" t="str">
        <f t="shared" si="61"/>
        <v/>
      </c>
      <c r="AE71" s="120"/>
      <c r="AF71" s="120">
        <f t="shared" si="62"/>
        <v>0</v>
      </c>
      <c r="AG71" s="120">
        <f t="shared" si="63"/>
        <v>0</v>
      </c>
      <c r="AH71" s="120">
        <f t="shared" si="64"/>
        <v>0</v>
      </c>
      <c r="AI71" s="268" t="str">
        <f t="shared" si="68"/>
        <v/>
      </c>
      <c r="AJ71" s="120">
        <f t="shared" si="65"/>
        <v>0</v>
      </c>
      <c r="AK71" s="815">
        <f t="shared" si="71"/>
        <v>0</v>
      </c>
      <c r="AL71" s="815"/>
      <c r="AM71" s="816">
        <f t="shared" si="69"/>
        <v>0</v>
      </c>
      <c r="AN71" s="816"/>
      <c r="AO71" s="816">
        <f t="shared" si="70"/>
        <v>0</v>
      </c>
      <c r="AP71" s="816"/>
      <c r="AR71" s="120">
        <f t="shared" si="72"/>
        <v>0</v>
      </c>
      <c r="AS71" s="120">
        <f t="shared" si="73"/>
        <v>0</v>
      </c>
      <c r="AT71" s="120">
        <f t="shared" si="74"/>
        <v>15</v>
      </c>
      <c r="AU71" s="120">
        <f t="shared" si="75"/>
        <v>15</v>
      </c>
    </row>
    <row r="72" spans="1:47" x14ac:dyDescent="0.15">
      <c r="A72" s="307">
        <v>8</v>
      </c>
      <c r="B72" s="282"/>
      <c r="C72" s="653"/>
      <c r="D72" s="653"/>
      <c r="E72" s="653"/>
      <c r="F72" s="653"/>
      <c r="G72" s="653"/>
      <c r="H72" s="653"/>
      <c r="I72" s="653"/>
      <c r="J72" s="653"/>
      <c r="K72" s="653"/>
      <c r="L72" s="654"/>
      <c r="M72" s="654"/>
      <c r="N72" s="654"/>
      <c r="O72" s="654"/>
      <c r="P72" s="654"/>
      <c r="Q72" s="654"/>
      <c r="R72" s="410" t="str">
        <f t="shared" si="76"/>
        <v/>
      </c>
      <c r="S72" s="409"/>
      <c r="T72" s="409"/>
      <c r="U72" s="412" t="str">
        <f t="shared" si="77"/>
        <v/>
      </c>
      <c r="V72" s="421">
        <f t="shared" si="66"/>
        <v>0</v>
      </c>
      <c r="W72" s="457">
        <f t="shared" si="67"/>
        <v>0</v>
      </c>
      <c r="Z72" s="327"/>
      <c r="AB72" s="560" t="str">
        <f t="shared" si="59"/>
        <v/>
      </c>
      <c r="AC72" s="120">
        <f t="shared" si="60"/>
        <v>0</v>
      </c>
      <c r="AD72" s="120" t="str">
        <f t="shared" si="61"/>
        <v/>
      </c>
      <c r="AE72" s="120"/>
      <c r="AF72" s="120">
        <f t="shared" si="62"/>
        <v>0</v>
      </c>
      <c r="AG72" s="120">
        <f t="shared" si="63"/>
        <v>0</v>
      </c>
      <c r="AH72" s="120">
        <f t="shared" si="64"/>
        <v>0</v>
      </c>
      <c r="AI72" s="268" t="str">
        <f t="shared" si="68"/>
        <v/>
      </c>
      <c r="AJ72" s="120">
        <f t="shared" si="65"/>
        <v>0</v>
      </c>
      <c r="AK72" s="815">
        <f t="shared" si="71"/>
        <v>0</v>
      </c>
      <c r="AL72" s="815"/>
      <c r="AM72" s="816">
        <f t="shared" si="69"/>
        <v>0</v>
      </c>
      <c r="AN72" s="816"/>
      <c r="AO72" s="816">
        <f t="shared" si="70"/>
        <v>0</v>
      </c>
      <c r="AP72" s="816"/>
      <c r="AR72" s="120">
        <f t="shared" si="72"/>
        <v>0</v>
      </c>
      <c r="AS72" s="120">
        <f t="shared" si="73"/>
        <v>0</v>
      </c>
      <c r="AT72" s="120">
        <f t="shared" si="74"/>
        <v>15</v>
      </c>
      <c r="AU72" s="120">
        <f t="shared" si="75"/>
        <v>15</v>
      </c>
    </row>
    <row r="73" spans="1:47" x14ac:dyDescent="0.15">
      <c r="A73" s="307">
        <v>9</v>
      </c>
      <c r="B73" s="282"/>
      <c r="C73" s="653"/>
      <c r="D73" s="653"/>
      <c r="E73" s="653"/>
      <c r="F73" s="653"/>
      <c r="G73" s="653"/>
      <c r="H73" s="653"/>
      <c r="I73" s="653"/>
      <c r="J73" s="653"/>
      <c r="K73" s="653"/>
      <c r="L73" s="654"/>
      <c r="M73" s="654"/>
      <c r="N73" s="654"/>
      <c r="O73" s="654"/>
      <c r="P73" s="654"/>
      <c r="Q73" s="654"/>
      <c r="R73" s="410" t="str">
        <f t="shared" si="76"/>
        <v/>
      </c>
      <c r="S73" s="409"/>
      <c r="T73" s="409"/>
      <c r="U73" s="412" t="str">
        <f t="shared" si="77"/>
        <v/>
      </c>
      <c r="V73" s="421">
        <f t="shared" si="66"/>
        <v>0</v>
      </c>
      <c r="W73" s="457">
        <f t="shared" si="67"/>
        <v>0</v>
      </c>
      <c r="Z73" s="327"/>
      <c r="AB73" s="560" t="str">
        <f t="shared" si="59"/>
        <v/>
      </c>
      <c r="AC73" s="120">
        <f t="shared" si="60"/>
        <v>0</v>
      </c>
      <c r="AD73" s="120" t="str">
        <f t="shared" si="61"/>
        <v/>
      </c>
      <c r="AE73" s="120"/>
      <c r="AF73" s="120">
        <f t="shared" si="62"/>
        <v>0</v>
      </c>
      <c r="AG73" s="120">
        <f t="shared" si="63"/>
        <v>0</v>
      </c>
      <c r="AH73" s="120">
        <f t="shared" si="64"/>
        <v>0</v>
      </c>
      <c r="AI73" s="268" t="str">
        <f t="shared" si="68"/>
        <v/>
      </c>
      <c r="AJ73" s="120">
        <f t="shared" si="65"/>
        <v>0</v>
      </c>
      <c r="AK73" s="815">
        <f t="shared" si="71"/>
        <v>0</v>
      </c>
      <c r="AL73" s="815"/>
      <c r="AM73" s="816">
        <f t="shared" si="69"/>
        <v>0</v>
      </c>
      <c r="AN73" s="816"/>
      <c r="AO73" s="816">
        <f t="shared" si="70"/>
        <v>0</v>
      </c>
      <c r="AP73" s="816"/>
      <c r="AR73" s="120">
        <f t="shared" si="72"/>
        <v>0</v>
      </c>
      <c r="AS73" s="120">
        <f t="shared" si="73"/>
        <v>0</v>
      </c>
      <c r="AT73" s="120">
        <f t="shared" si="74"/>
        <v>15</v>
      </c>
      <c r="AU73" s="120">
        <f t="shared" si="75"/>
        <v>15</v>
      </c>
    </row>
    <row r="74" spans="1:47" x14ac:dyDescent="0.15">
      <c r="A74" s="307">
        <v>10</v>
      </c>
      <c r="B74" s="282"/>
      <c r="C74" s="653"/>
      <c r="D74" s="653"/>
      <c r="E74" s="653"/>
      <c r="F74" s="653"/>
      <c r="G74" s="653"/>
      <c r="H74" s="653"/>
      <c r="I74" s="653"/>
      <c r="J74" s="653"/>
      <c r="K74" s="653"/>
      <c r="L74" s="654"/>
      <c r="M74" s="654"/>
      <c r="N74" s="654"/>
      <c r="O74" s="654"/>
      <c r="P74" s="654"/>
      <c r="Q74" s="654"/>
      <c r="R74" s="410" t="str">
        <f t="shared" si="76"/>
        <v/>
      </c>
      <c r="S74" s="409"/>
      <c r="T74" s="409"/>
      <c r="U74" s="412" t="str">
        <f t="shared" si="77"/>
        <v/>
      </c>
      <c r="V74" s="421">
        <f t="shared" si="66"/>
        <v>0</v>
      </c>
      <c r="W74" s="457">
        <f t="shared" si="67"/>
        <v>0</v>
      </c>
      <c r="Z74" s="327"/>
      <c r="AB74" s="560" t="str">
        <f t="shared" si="59"/>
        <v/>
      </c>
      <c r="AC74" s="120">
        <f t="shared" si="60"/>
        <v>0</v>
      </c>
      <c r="AD74" s="120" t="str">
        <f t="shared" si="61"/>
        <v/>
      </c>
      <c r="AE74" s="120"/>
      <c r="AF74" s="120">
        <f t="shared" si="62"/>
        <v>0</v>
      </c>
      <c r="AG74" s="120">
        <f t="shared" si="63"/>
        <v>0</v>
      </c>
      <c r="AH74" s="120">
        <f t="shared" si="64"/>
        <v>0</v>
      </c>
      <c r="AI74" s="268" t="str">
        <f t="shared" si="68"/>
        <v/>
      </c>
      <c r="AJ74" s="120">
        <f t="shared" si="65"/>
        <v>0</v>
      </c>
      <c r="AK74" s="815">
        <f t="shared" si="71"/>
        <v>0</v>
      </c>
      <c r="AL74" s="815"/>
      <c r="AM74" s="816">
        <f t="shared" si="69"/>
        <v>0</v>
      </c>
      <c r="AN74" s="816"/>
      <c r="AO74" s="816">
        <f t="shared" si="70"/>
        <v>0</v>
      </c>
      <c r="AP74" s="816"/>
      <c r="AR74" s="120">
        <f t="shared" si="72"/>
        <v>0</v>
      </c>
      <c r="AS74" s="120">
        <f t="shared" si="73"/>
        <v>0</v>
      </c>
      <c r="AT74" s="120">
        <f t="shared" si="74"/>
        <v>15</v>
      </c>
      <c r="AU74" s="120">
        <f t="shared" si="75"/>
        <v>15</v>
      </c>
    </row>
    <row r="75" spans="1:47" x14ac:dyDescent="0.15">
      <c r="A75" s="307">
        <v>11</v>
      </c>
      <c r="B75" s="282"/>
      <c r="C75" s="653"/>
      <c r="D75" s="653"/>
      <c r="E75" s="653"/>
      <c r="F75" s="653"/>
      <c r="G75" s="653"/>
      <c r="H75" s="653"/>
      <c r="I75" s="653"/>
      <c r="J75" s="653"/>
      <c r="K75" s="653"/>
      <c r="L75" s="654"/>
      <c r="M75" s="654"/>
      <c r="N75" s="654"/>
      <c r="O75" s="654"/>
      <c r="P75" s="654"/>
      <c r="Q75" s="654"/>
      <c r="R75" s="410" t="str">
        <f t="shared" si="76"/>
        <v/>
      </c>
      <c r="S75" s="409"/>
      <c r="T75" s="409"/>
      <c r="U75" s="412" t="str">
        <f t="shared" si="77"/>
        <v/>
      </c>
      <c r="V75" s="421">
        <f t="shared" si="66"/>
        <v>0</v>
      </c>
      <c r="W75" s="457">
        <f t="shared" si="67"/>
        <v>0</v>
      </c>
      <c r="Z75" s="327"/>
      <c r="AB75" s="560" t="str">
        <f t="shared" si="59"/>
        <v/>
      </c>
      <c r="AC75" s="120">
        <f t="shared" si="60"/>
        <v>0</v>
      </c>
      <c r="AD75" s="120" t="str">
        <f t="shared" si="61"/>
        <v/>
      </c>
      <c r="AE75" s="120"/>
      <c r="AF75" s="120">
        <f t="shared" si="62"/>
        <v>0</v>
      </c>
      <c r="AG75" s="120">
        <f t="shared" si="63"/>
        <v>0</v>
      </c>
      <c r="AH75" s="120">
        <f t="shared" si="64"/>
        <v>0</v>
      </c>
      <c r="AI75" s="268" t="str">
        <f t="shared" si="68"/>
        <v/>
      </c>
      <c r="AJ75" s="120">
        <f t="shared" si="65"/>
        <v>0</v>
      </c>
      <c r="AK75" s="815">
        <f t="shared" si="71"/>
        <v>0</v>
      </c>
      <c r="AL75" s="815"/>
      <c r="AM75" s="816">
        <f t="shared" si="69"/>
        <v>0</v>
      </c>
      <c r="AN75" s="816"/>
      <c r="AO75" s="816">
        <f t="shared" si="70"/>
        <v>0</v>
      </c>
      <c r="AP75" s="816"/>
      <c r="AR75" s="120">
        <f t="shared" si="72"/>
        <v>0</v>
      </c>
      <c r="AS75" s="120">
        <f t="shared" si="73"/>
        <v>0</v>
      </c>
      <c r="AT75" s="120">
        <f t="shared" si="74"/>
        <v>15</v>
      </c>
      <c r="AU75" s="120">
        <f t="shared" si="75"/>
        <v>15</v>
      </c>
    </row>
    <row r="76" spans="1:47" x14ac:dyDescent="0.15">
      <c r="A76" s="307">
        <v>12</v>
      </c>
      <c r="B76" s="282"/>
      <c r="C76" s="653"/>
      <c r="D76" s="653"/>
      <c r="E76" s="653"/>
      <c r="F76" s="653"/>
      <c r="G76" s="653"/>
      <c r="H76" s="653"/>
      <c r="I76" s="653"/>
      <c r="J76" s="653"/>
      <c r="K76" s="653"/>
      <c r="L76" s="654"/>
      <c r="M76" s="654"/>
      <c r="N76" s="654"/>
      <c r="O76" s="654"/>
      <c r="P76" s="654"/>
      <c r="Q76" s="654"/>
      <c r="R76" s="410" t="str">
        <f t="shared" si="76"/>
        <v/>
      </c>
      <c r="S76" s="409"/>
      <c r="T76" s="409"/>
      <c r="U76" s="412" t="str">
        <f t="shared" si="77"/>
        <v/>
      </c>
      <c r="V76" s="421">
        <f t="shared" si="66"/>
        <v>0</v>
      </c>
      <c r="W76" s="457">
        <f t="shared" si="67"/>
        <v>0</v>
      </c>
      <c r="Z76" s="327"/>
      <c r="AB76" s="560" t="str">
        <f t="shared" si="59"/>
        <v/>
      </c>
      <c r="AC76" s="120">
        <f t="shared" si="60"/>
        <v>0</v>
      </c>
      <c r="AD76" s="120" t="str">
        <f t="shared" si="61"/>
        <v/>
      </c>
      <c r="AE76" s="120"/>
      <c r="AF76" s="120">
        <f t="shared" si="62"/>
        <v>0</v>
      </c>
      <c r="AG76" s="120">
        <f t="shared" si="63"/>
        <v>0</v>
      </c>
      <c r="AH76" s="120">
        <f t="shared" si="64"/>
        <v>0</v>
      </c>
      <c r="AI76" s="268" t="str">
        <f t="shared" si="68"/>
        <v/>
      </c>
      <c r="AJ76" s="120">
        <f t="shared" si="65"/>
        <v>0</v>
      </c>
      <c r="AK76" s="815">
        <f t="shared" si="71"/>
        <v>0</v>
      </c>
      <c r="AL76" s="815"/>
      <c r="AM76" s="816">
        <f t="shared" si="69"/>
        <v>0</v>
      </c>
      <c r="AN76" s="816"/>
      <c r="AO76" s="816">
        <f t="shared" si="70"/>
        <v>0</v>
      </c>
      <c r="AP76" s="816"/>
      <c r="AR76" s="120">
        <f t="shared" si="72"/>
        <v>0</v>
      </c>
      <c r="AS76" s="120">
        <f t="shared" si="73"/>
        <v>0</v>
      </c>
      <c r="AT76" s="120">
        <f t="shared" si="74"/>
        <v>15</v>
      </c>
      <c r="AU76" s="120">
        <f t="shared" si="75"/>
        <v>15</v>
      </c>
    </row>
    <row r="77" spans="1:47" x14ac:dyDescent="0.15">
      <c r="A77" s="307">
        <v>13</v>
      </c>
      <c r="B77" s="282"/>
      <c r="C77" s="653"/>
      <c r="D77" s="653"/>
      <c r="E77" s="653"/>
      <c r="F77" s="653"/>
      <c r="G77" s="653"/>
      <c r="H77" s="653"/>
      <c r="I77" s="653"/>
      <c r="J77" s="653"/>
      <c r="K77" s="653"/>
      <c r="L77" s="654"/>
      <c r="M77" s="654"/>
      <c r="N77" s="654"/>
      <c r="O77" s="654"/>
      <c r="P77" s="654"/>
      <c r="Q77" s="654"/>
      <c r="R77" s="410" t="str">
        <f t="shared" si="76"/>
        <v/>
      </c>
      <c r="S77" s="409"/>
      <c r="T77" s="409"/>
      <c r="U77" s="412" t="str">
        <f t="shared" si="77"/>
        <v/>
      </c>
      <c r="V77" s="421">
        <f t="shared" si="66"/>
        <v>0</v>
      </c>
      <c r="W77" s="457">
        <f t="shared" si="67"/>
        <v>0</v>
      </c>
      <c r="Z77" s="327"/>
      <c r="AB77" s="560" t="str">
        <f t="shared" si="59"/>
        <v/>
      </c>
      <c r="AC77" s="120">
        <f t="shared" si="60"/>
        <v>0</v>
      </c>
      <c r="AD77" s="120" t="str">
        <f t="shared" si="61"/>
        <v/>
      </c>
      <c r="AE77" s="120"/>
      <c r="AF77" s="120">
        <f t="shared" si="62"/>
        <v>0</v>
      </c>
      <c r="AG77" s="120">
        <f t="shared" si="63"/>
        <v>0</v>
      </c>
      <c r="AH77" s="120">
        <f t="shared" si="64"/>
        <v>0</v>
      </c>
      <c r="AI77" s="268" t="str">
        <f t="shared" si="68"/>
        <v/>
      </c>
      <c r="AJ77" s="120">
        <f t="shared" si="65"/>
        <v>0</v>
      </c>
      <c r="AK77" s="815">
        <f t="shared" si="71"/>
        <v>0</v>
      </c>
      <c r="AL77" s="815"/>
      <c r="AM77" s="816">
        <f t="shared" si="69"/>
        <v>0</v>
      </c>
      <c r="AN77" s="816"/>
      <c r="AO77" s="816">
        <f t="shared" si="70"/>
        <v>0</v>
      </c>
      <c r="AP77" s="816"/>
      <c r="AR77" s="120">
        <f t="shared" si="72"/>
        <v>0</v>
      </c>
      <c r="AS77" s="120">
        <f t="shared" si="73"/>
        <v>0</v>
      </c>
      <c r="AT77" s="120">
        <f t="shared" si="74"/>
        <v>15</v>
      </c>
      <c r="AU77" s="120">
        <f t="shared" si="75"/>
        <v>15</v>
      </c>
    </row>
    <row r="78" spans="1:47" x14ac:dyDescent="0.15">
      <c r="A78" s="307">
        <v>14</v>
      </c>
      <c r="B78" s="282"/>
      <c r="C78" s="653"/>
      <c r="D78" s="653"/>
      <c r="E78" s="653"/>
      <c r="F78" s="653"/>
      <c r="G78" s="653"/>
      <c r="H78" s="653"/>
      <c r="I78" s="653"/>
      <c r="J78" s="653"/>
      <c r="K78" s="653"/>
      <c r="L78" s="654"/>
      <c r="M78" s="654"/>
      <c r="N78" s="654"/>
      <c r="O78" s="654"/>
      <c r="P78" s="654"/>
      <c r="Q78" s="654"/>
      <c r="R78" s="410" t="str">
        <f t="shared" si="76"/>
        <v/>
      </c>
      <c r="S78" s="409"/>
      <c r="T78" s="409"/>
      <c r="U78" s="412" t="str">
        <f t="shared" si="77"/>
        <v/>
      </c>
      <c r="V78" s="421">
        <f t="shared" si="66"/>
        <v>0</v>
      </c>
      <c r="W78" s="457">
        <f t="shared" si="67"/>
        <v>0</v>
      </c>
      <c r="Z78" s="327"/>
      <c r="AB78" s="560" t="str">
        <f t="shared" si="59"/>
        <v/>
      </c>
      <c r="AC78" s="120">
        <f t="shared" si="60"/>
        <v>0</v>
      </c>
      <c r="AD78" s="120" t="str">
        <f t="shared" si="61"/>
        <v/>
      </c>
      <c r="AE78" s="120"/>
      <c r="AF78" s="120">
        <f t="shared" si="62"/>
        <v>0</v>
      </c>
      <c r="AG78" s="120">
        <f t="shared" si="63"/>
        <v>0</v>
      </c>
      <c r="AH78" s="120">
        <f t="shared" si="64"/>
        <v>0</v>
      </c>
      <c r="AI78" s="268" t="str">
        <f t="shared" si="68"/>
        <v/>
      </c>
      <c r="AJ78" s="120">
        <f t="shared" si="65"/>
        <v>0</v>
      </c>
      <c r="AK78" s="815">
        <f t="shared" si="71"/>
        <v>0</v>
      </c>
      <c r="AL78" s="815"/>
      <c r="AM78" s="816">
        <f t="shared" si="69"/>
        <v>0</v>
      </c>
      <c r="AN78" s="816"/>
      <c r="AO78" s="816">
        <f t="shared" si="70"/>
        <v>0</v>
      </c>
      <c r="AP78" s="816"/>
      <c r="AR78" s="120">
        <f t="shared" si="72"/>
        <v>0</v>
      </c>
      <c r="AS78" s="120">
        <f t="shared" si="73"/>
        <v>0</v>
      </c>
      <c r="AT78" s="120">
        <f t="shared" si="74"/>
        <v>15</v>
      </c>
      <c r="AU78" s="120">
        <f t="shared" si="75"/>
        <v>15</v>
      </c>
    </row>
    <row r="79" spans="1:47" ht="14" thickBot="1" x14ac:dyDescent="0.2">
      <c r="A79" s="418">
        <v>15</v>
      </c>
      <c r="B79" s="611"/>
      <c r="C79" s="655"/>
      <c r="D79" s="655"/>
      <c r="E79" s="655"/>
      <c r="F79" s="655"/>
      <c r="G79" s="655"/>
      <c r="H79" s="655"/>
      <c r="I79" s="655"/>
      <c r="J79" s="655"/>
      <c r="K79" s="655"/>
      <c r="L79" s="656"/>
      <c r="M79" s="656"/>
      <c r="N79" s="656"/>
      <c r="O79" s="656"/>
      <c r="P79" s="656"/>
      <c r="Q79" s="657"/>
      <c r="R79" s="419" t="str">
        <f t="shared" si="76"/>
        <v/>
      </c>
      <c r="S79" s="420"/>
      <c r="T79" s="420"/>
      <c r="U79" s="308" t="str">
        <f t="shared" si="77"/>
        <v/>
      </c>
      <c r="V79" s="458">
        <f t="shared" si="66"/>
        <v>0</v>
      </c>
      <c r="W79" s="458">
        <f t="shared" si="67"/>
        <v>0</v>
      </c>
      <c r="Z79" s="327"/>
      <c r="AB79" s="560" t="str">
        <f t="shared" si="59"/>
        <v/>
      </c>
      <c r="AC79" s="120">
        <f t="shared" si="60"/>
        <v>0</v>
      </c>
      <c r="AD79" s="120" t="str">
        <f t="shared" si="61"/>
        <v/>
      </c>
      <c r="AE79" s="120"/>
      <c r="AF79" s="120">
        <f t="shared" si="62"/>
        <v>0</v>
      </c>
      <c r="AG79" s="120">
        <f t="shared" si="63"/>
        <v>0</v>
      </c>
      <c r="AH79" s="120">
        <f t="shared" si="64"/>
        <v>0</v>
      </c>
      <c r="AI79" s="268" t="str">
        <f t="shared" si="68"/>
        <v/>
      </c>
      <c r="AJ79" s="120">
        <f t="shared" si="65"/>
        <v>0</v>
      </c>
      <c r="AK79" s="815">
        <f t="shared" si="71"/>
        <v>0</v>
      </c>
      <c r="AL79" s="815"/>
      <c r="AM79" s="816">
        <f t="shared" si="69"/>
        <v>0</v>
      </c>
      <c r="AN79" s="816"/>
      <c r="AO79" s="816">
        <f t="shared" si="70"/>
        <v>0</v>
      </c>
      <c r="AP79" s="816"/>
      <c r="AR79" s="120">
        <f t="shared" si="72"/>
        <v>0</v>
      </c>
      <c r="AS79" s="120">
        <f t="shared" si="73"/>
        <v>0</v>
      </c>
      <c r="AT79" s="120">
        <f t="shared" si="74"/>
        <v>15</v>
      </c>
      <c r="AU79" s="120">
        <f t="shared" si="75"/>
        <v>15</v>
      </c>
    </row>
    <row r="80" spans="1:47" ht="14" thickBot="1" x14ac:dyDescent="0.2">
      <c r="A80" s="460"/>
      <c r="B80" s="460" t="s">
        <v>394</v>
      </c>
      <c r="C80" s="463">
        <f>15-COUNTBLANK(C65:C79)</f>
        <v>0</v>
      </c>
      <c r="D80" s="463">
        <f t="shared" ref="D80:Q80" si="78">15-COUNTBLANK(D65:D79)</f>
        <v>0</v>
      </c>
      <c r="E80" s="463">
        <f t="shared" si="78"/>
        <v>0</v>
      </c>
      <c r="F80" s="463">
        <f>15-COUNTBLANK(F65:F79)</f>
        <v>0</v>
      </c>
      <c r="G80" s="463">
        <f t="shared" si="78"/>
        <v>0</v>
      </c>
      <c r="H80" s="463">
        <f t="shared" si="78"/>
        <v>0</v>
      </c>
      <c r="I80" s="463">
        <f t="shared" si="78"/>
        <v>0</v>
      </c>
      <c r="J80" s="463">
        <f t="shared" si="78"/>
        <v>0</v>
      </c>
      <c r="K80" s="463">
        <f t="shared" si="78"/>
        <v>0</v>
      </c>
      <c r="L80" s="463">
        <f t="shared" si="78"/>
        <v>0</v>
      </c>
      <c r="M80" s="463">
        <f t="shared" si="78"/>
        <v>0</v>
      </c>
      <c r="N80" s="463">
        <f t="shared" si="78"/>
        <v>0</v>
      </c>
      <c r="O80" s="463">
        <f t="shared" si="78"/>
        <v>0</v>
      </c>
      <c r="P80" s="463">
        <f t="shared" si="78"/>
        <v>0</v>
      </c>
      <c r="Q80" s="463">
        <f t="shared" si="78"/>
        <v>0</v>
      </c>
      <c r="R80" s="459"/>
      <c r="S80" s="459"/>
      <c r="T80" s="459"/>
      <c r="U80" s="460" t="s">
        <v>395</v>
      </c>
      <c r="V80" s="463">
        <f>SUM(V65:V79)</f>
        <v>0</v>
      </c>
      <c r="Z80" s="327"/>
      <c r="AB80" s="560" t="str">
        <f t="shared" si="59"/>
        <v/>
      </c>
      <c r="AC80" s="120">
        <f t="shared" si="60"/>
        <v>0</v>
      </c>
      <c r="AD80" s="120" t="str">
        <f t="shared" si="61"/>
        <v/>
      </c>
      <c r="AE80" s="120"/>
      <c r="AF80" s="120">
        <f t="shared" si="62"/>
        <v>0</v>
      </c>
      <c r="AG80" s="120">
        <f t="shared" si="63"/>
        <v>0</v>
      </c>
      <c r="AH80" s="120">
        <f t="shared" si="64"/>
        <v>0</v>
      </c>
      <c r="AI80" s="268" t="str">
        <f t="shared" si="68"/>
        <v/>
      </c>
      <c r="AJ80" s="120">
        <f t="shared" si="65"/>
        <v>0</v>
      </c>
      <c r="AK80" s="815">
        <f t="shared" si="71"/>
        <v>0</v>
      </c>
      <c r="AL80" s="815"/>
      <c r="AM80" s="816">
        <f t="shared" si="69"/>
        <v>0</v>
      </c>
      <c r="AN80" s="816"/>
      <c r="AO80" s="816">
        <f t="shared" si="70"/>
        <v>0</v>
      </c>
      <c r="AP80" s="816"/>
      <c r="AR80" s="120"/>
      <c r="AS80" s="120"/>
      <c r="AT80" s="120"/>
      <c r="AU80" s="120">
        <f>MIN(AU65:AU79)</f>
        <v>15</v>
      </c>
    </row>
    <row r="81" spans="1:83" ht="15" thickTop="1" thickBot="1" x14ac:dyDescent="0.2">
      <c r="A81" s="459"/>
      <c r="B81" s="6"/>
      <c r="C81" s="415"/>
      <c r="D81" s="415"/>
      <c r="E81" s="415"/>
      <c r="F81" s="415"/>
      <c r="G81" s="415"/>
      <c r="H81" s="415"/>
      <c r="I81" s="415"/>
      <c r="J81" s="415"/>
      <c r="K81" s="415"/>
      <c r="L81" s="416"/>
      <c r="M81" s="416"/>
      <c r="N81" s="416"/>
      <c r="O81" s="416"/>
      <c r="P81" s="416"/>
      <c r="Q81" s="416"/>
      <c r="R81" s="461"/>
      <c r="S81" s="461"/>
      <c r="T81" s="461"/>
      <c r="U81" s="460" t="s">
        <v>396</v>
      </c>
      <c r="V81" s="417"/>
      <c r="W81" s="464">
        <f>SUM(W65:W79)</f>
        <v>0</v>
      </c>
      <c r="X81" s="29"/>
      <c r="Z81" s="327"/>
      <c r="AB81" s="560" t="str">
        <f t="shared" si="59"/>
        <v/>
      </c>
      <c r="AC81" s="120">
        <f t="shared" si="60"/>
        <v>0</v>
      </c>
      <c r="AD81" s="120" t="str">
        <f t="shared" si="61"/>
        <v/>
      </c>
      <c r="AE81" s="120"/>
      <c r="AF81" s="120">
        <f t="shared" si="62"/>
        <v>0</v>
      </c>
      <c r="AG81" s="120">
        <f t="shared" si="63"/>
        <v>0</v>
      </c>
      <c r="AH81" s="120">
        <f t="shared" si="64"/>
        <v>0</v>
      </c>
      <c r="AI81" s="268" t="str">
        <f t="shared" si="68"/>
        <v/>
      </c>
      <c r="AJ81" s="120">
        <f t="shared" si="65"/>
        <v>0</v>
      </c>
      <c r="AK81" s="815">
        <f t="shared" si="71"/>
        <v>0</v>
      </c>
      <c r="AL81" s="815"/>
      <c r="AM81" s="816">
        <f t="shared" si="69"/>
        <v>0</v>
      </c>
      <c r="AN81" s="816"/>
      <c r="AO81" s="816">
        <f t="shared" si="70"/>
        <v>0</v>
      </c>
      <c r="AP81" s="816"/>
      <c r="AR81" s="120"/>
      <c r="AS81" s="120"/>
      <c r="AT81" s="120"/>
      <c r="AU81" s="120"/>
    </row>
    <row r="82" spans="1:83" ht="14" thickTop="1" x14ac:dyDescent="0.15">
      <c r="A82" s="459"/>
      <c r="B82" s="6"/>
      <c r="C82" s="701" t="s">
        <v>511</v>
      </c>
      <c r="E82" s="415"/>
      <c r="F82" s="415"/>
      <c r="G82" s="415"/>
      <c r="H82" s="415"/>
      <c r="I82" s="415"/>
      <c r="J82" s="415"/>
      <c r="K82" s="415"/>
      <c r="L82" s="415" t="str">
        <f>IF(AU80=15,"","Lettera non autorizzata")</f>
        <v/>
      </c>
      <c r="M82" s="416"/>
      <c r="N82" s="416"/>
      <c r="O82" s="416"/>
      <c r="P82" s="416"/>
      <c r="Q82" s="416"/>
      <c r="R82" s="461"/>
      <c r="S82" s="461"/>
      <c r="T82" s="461"/>
      <c r="U82" s="460"/>
      <c r="V82" s="417"/>
      <c r="W82" s="459"/>
      <c r="X82" s="29"/>
      <c r="Z82" s="327"/>
      <c r="AB82" s="560" t="str">
        <f t="shared" si="59"/>
        <v/>
      </c>
      <c r="AC82" s="120">
        <f t="shared" si="60"/>
        <v>0</v>
      </c>
      <c r="AD82" s="120" t="str">
        <f t="shared" si="61"/>
        <v/>
      </c>
      <c r="AE82" s="120"/>
      <c r="AF82" s="120">
        <f t="shared" si="62"/>
        <v>0</v>
      </c>
      <c r="AG82" s="120">
        <f t="shared" si="63"/>
        <v>0</v>
      </c>
      <c r="AH82" s="120">
        <f t="shared" si="64"/>
        <v>0</v>
      </c>
      <c r="AI82" s="268" t="str">
        <f t="shared" si="68"/>
        <v/>
      </c>
      <c r="AJ82" s="120">
        <f t="shared" si="65"/>
        <v>0</v>
      </c>
      <c r="AK82" s="815">
        <f t="shared" si="71"/>
        <v>0</v>
      </c>
      <c r="AL82" s="815"/>
      <c r="AM82" s="816">
        <f t="shared" si="69"/>
        <v>0</v>
      </c>
      <c r="AN82" s="816"/>
      <c r="AO82" s="816">
        <f t="shared" si="70"/>
        <v>0</v>
      </c>
      <c r="AP82" s="816"/>
      <c r="AR82" s="120"/>
      <c r="AS82" s="120"/>
      <c r="AT82" s="120"/>
      <c r="AU82" s="120"/>
    </row>
    <row r="83" spans="1:83" x14ac:dyDescent="0.15">
      <c r="A83" s="465" t="s">
        <v>512</v>
      </c>
      <c r="B83" s="466"/>
      <c r="C83" s="466"/>
      <c r="D83" s="466"/>
      <c r="E83" s="466"/>
      <c r="F83" s="466"/>
      <c r="G83" s="466"/>
      <c r="H83" s="466"/>
      <c r="I83" s="466"/>
      <c r="J83" s="466"/>
      <c r="K83" s="467"/>
      <c r="L83" s="467"/>
      <c r="M83" s="467"/>
      <c r="N83" s="467"/>
      <c r="O83" s="467"/>
      <c r="P83" s="467"/>
      <c r="Q83" s="465"/>
      <c r="R83" s="465"/>
      <c r="S83" s="465"/>
      <c r="T83" s="468"/>
      <c r="U83" s="469"/>
      <c r="V83" s="470"/>
      <c r="X83" s="29"/>
      <c r="Z83" s="327"/>
      <c r="AB83" s="560" t="str">
        <f t="shared" si="59"/>
        <v/>
      </c>
      <c r="AC83" s="120">
        <f t="shared" si="60"/>
        <v>0</v>
      </c>
      <c r="AD83" s="120" t="str">
        <f t="shared" si="61"/>
        <v/>
      </c>
      <c r="AE83" s="120"/>
      <c r="AF83" s="120">
        <f t="shared" si="62"/>
        <v>0</v>
      </c>
      <c r="AG83" s="120">
        <f t="shared" si="63"/>
        <v>0</v>
      </c>
      <c r="AH83" s="120">
        <f t="shared" si="64"/>
        <v>0</v>
      </c>
      <c r="AI83" s="268" t="str">
        <f t="shared" si="68"/>
        <v/>
      </c>
      <c r="AJ83" s="120">
        <f t="shared" si="65"/>
        <v>0</v>
      </c>
      <c r="AK83" s="815">
        <f t="shared" si="71"/>
        <v>0</v>
      </c>
      <c r="AL83" s="815"/>
      <c r="AM83" s="816">
        <f t="shared" si="69"/>
        <v>0</v>
      </c>
      <c r="AN83" s="816"/>
      <c r="AO83" s="816">
        <f t="shared" si="70"/>
        <v>0</v>
      </c>
      <c r="AP83" s="816"/>
      <c r="AR83" s="120"/>
      <c r="AS83" s="120"/>
      <c r="AT83" s="120"/>
      <c r="AU83" s="120"/>
    </row>
    <row r="84" spans="1:83" x14ac:dyDescent="0.15">
      <c r="A84" s="459"/>
      <c r="B84" s="6"/>
      <c r="C84" s="415"/>
      <c r="D84" s="415"/>
      <c r="E84" s="415"/>
      <c r="F84" s="415"/>
      <c r="G84" s="415"/>
      <c r="H84" s="415"/>
      <c r="I84" s="415"/>
      <c r="J84" s="415"/>
      <c r="K84" s="415"/>
      <c r="L84" s="416"/>
      <c r="M84" s="416"/>
      <c r="N84" s="416"/>
      <c r="O84" s="416"/>
      <c r="P84" s="416"/>
      <c r="Q84" s="416"/>
      <c r="R84" s="461"/>
      <c r="S84" s="461"/>
      <c r="T84" s="461"/>
      <c r="U84" s="460"/>
      <c r="V84" s="417"/>
      <c r="W84" s="459"/>
      <c r="X84" s="29"/>
      <c r="Z84" s="327"/>
      <c r="AB84" s="560" t="str">
        <f t="shared" si="59"/>
        <v/>
      </c>
      <c r="AC84" s="120">
        <f t="shared" si="60"/>
        <v>0</v>
      </c>
      <c r="AD84" s="120" t="str">
        <f t="shared" si="61"/>
        <v/>
      </c>
      <c r="AE84" s="120"/>
      <c r="AF84" s="120">
        <f t="shared" si="62"/>
        <v>0</v>
      </c>
      <c r="AG84" s="120">
        <f t="shared" si="63"/>
        <v>0</v>
      </c>
      <c r="AH84" s="120">
        <f t="shared" si="64"/>
        <v>0</v>
      </c>
      <c r="AI84" s="268" t="str">
        <f t="shared" si="68"/>
        <v/>
      </c>
      <c r="AJ84" s="120">
        <f t="shared" si="65"/>
        <v>0</v>
      </c>
      <c r="AK84" s="815">
        <f t="shared" si="71"/>
        <v>0</v>
      </c>
      <c r="AL84" s="815"/>
      <c r="AM84" s="816">
        <f t="shared" si="69"/>
        <v>0</v>
      </c>
      <c r="AN84" s="816"/>
      <c r="AO84" s="816">
        <f t="shared" si="70"/>
        <v>0</v>
      </c>
      <c r="AP84" s="816"/>
      <c r="AR84" s="120"/>
      <c r="AS84" s="120"/>
      <c r="AT84" s="120"/>
      <c r="AU84" s="120"/>
    </row>
    <row r="85" spans="1:83" x14ac:dyDescent="0.15">
      <c r="E85" s="36"/>
      <c r="F85" s="36"/>
      <c r="G85" s="36"/>
      <c r="H85" s="350"/>
      <c r="I85" s="402"/>
      <c r="J85" s="402"/>
      <c r="K85" s="402"/>
      <c r="L85" s="402"/>
      <c r="M85" s="253"/>
      <c r="N85" s="253"/>
      <c r="O85" s="253"/>
      <c r="P85" s="116"/>
      <c r="Q85" s="372"/>
      <c r="R85" s="372"/>
      <c r="S85" s="372"/>
      <c r="T85" s="372"/>
      <c r="U85" s="372"/>
      <c r="V85" s="372"/>
      <c r="W85" s="372"/>
      <c r="Z85" s="327"/>
      <c r="AB85" s="560" t="str">
        <f t="shared" si="59"/>
        <v/>
      </c>
      <c r="AC85" s="120">
        <f t="shared" si="60"/>
        <v>0</v>
      </c>
      <c r="AD85" s="120" t="str">
        <f t="shared" si="61"/>
        <v/>
      </c>
      <c r="AE85" s="120"/>
      <c r="AF85" s="120">
        <f t="shared" si="62"/>
        <v>0</v>
      </c>
      <c r="AG85" s="120">
        <f t="shared" si="63"/>
        <v>0</v>
      </c>
      <c r="AH85" s="120">
        <f t="shared" si="64"/>
        <v>0</v>
      </c>
      <c r="AI85" s="268" t="str">
        <f t="shared" si="68"/>
        <v/>
      </c>
      <c r="AJ85" s="120">
        <f t="shared" si="65"/>
        <v>0</v>
      </c>
      <c r="AK85" s="815">
        <f t="shared" si="71"/>
        <v>0</v>
      </c>
      <c r="AL85" s="815"/>
      <c r="AM85" s="816">
        <f t="shared" si="69"/>
        <v>0</v>
      </c>
      <c r="AN85" s="816"/>
      <c r="AO85" s="816">
        <f t="shared" si="70"/>
        <v>0</v>
      </c>
      <c r="AP85" s="816"/>
      <c r="AR85" s="120"/>
      <c r="AS85" s="120"/>
      <c r="AT85" s="120"/>
      <c r="AU85" s="120"/>
    </row>
    <row r="86" spans="1:83" ht="20" x14ac:dyDescent="0.2">
      <c r="A86" s="76" t="s">
        <v>252</v>
      </c>
      <c r="AB86" s="560" t="str">
        <f t="shared" si="59"/>
        <v/>
      </c>
      <c r="AC86" s="120">
        <f t="shared" si="60"/>
        <v>0</v>
      </c>
      <c r="AD86" s="120" t="str">
        <f t="shared" si="61"/>
        <v/>
      </c>
      <c r="AE86" s="120"/>
      <c r="AF86" s="120">
        <f t="shared" si="62"/>
        <v>0</v>
      </c>
      <c r="AG86" s="120">
        <f t="shared" si="63"/>
        <v>0</v>
      </c>
      <c r="AH86" s="120">
        <f t="shared" si="64"/>
        <v>0</v>
      </c>
      <c r="AI86" s="268" t="str">
        <f t="shared" si="68"/>
        <v/>
      </c>
      <c r="AJ86" s="120">
        <f t="shared" si="65"/>
        <v>0</v>
      </c>
      <c r="AK86" s="815">
        <f t="shared" si="71"/>
        <v>0</v>
      </c>
      <c r="AL86" s="815"/>
      <c r="AM86" s="816">
        <f t="shared" si="69"/>
        <v>0</v>
      </c>
      <c r="AN86" s="816"/>
      <c r="AO86" s="816">
        <f t="shared" si="70"/>
        <v>0</v>
      </c>
      <c r="AP86" s="816"/>
      <c r="AR86" s="120"/>
      <c r="AS86" s="120"/>
      <c r="AT86" s="120"/>
      <c r="AU86" s="120"/>
      <c r="BG86" s="116"/>
      <c r="BH86" s="116"/>
    </row>
    <row r="87" spans="1:83" ht="11.25" customHeight="1" x14ac:dyDescent="0.2">
      <c r="A87" s="462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AB87" s="560" t="str">
        <f t="shared" si="59"/>
        <v/>
      </c>
      <c r="AC87" s="120"/>
      <c r="AD87" s="120"/>
      <c r="AE87" s="120"/>
      <c r="AF87" s="120">
        <f t="shared" ref="AF87:AK87" si="79">SUM(AF64:AF86)</f>
        <v>0</v>
      </c>
      <c r="AG87" s="120">
        <f t="shared" si="79"/>
        <v>0</v>
      </c>
      <c r="AH87" s="120">
        <f t="shared" si="79"/>
        <v>0</v>
      </c>
      <c r="AI87" s="120">
        <f t="shared" si="79"/>
        <v>0</v>
      </c>
      <c r="AJ87" s="120">
        <f t="shared" si="79"/>
        <v>0</v>
      </c>
      <c r="AK87" s="816">
        <f t="shared" si="79"/>
        <v>0</v>
      </c>
      <c r="AL87" s="816"/>
      <c r="AM87" s="120"/>
      <c r="AN87" s="120"/>
      <c r="AO87" s="120"/>
      <c r="AP87" s="120"/>
      <c r="AR87" s="120"/>
      <c r="AS87" s="120"/>
      <c r="AT87" s="120"/>
      <c r="AU87" s="120"/>
    </row>
    <row r="88" spans="1:83" ht="52.5" customHeight="1" thickBot="1" x14ac:dyDescent="0.2">
      <c r="A88" s="33" t="s">
        <v>253</v>
      </c>
      <c r="B88" s="33" t="s">
        <v>246</v>
      </c>
      <c r="C88" s="422">
        <f>C113</f>
        <v>0</v>
      </c>
      <c r="D88" s="422">
        <f t="shared" ref="D88:Q88" si="80">D113</f>
        <v>0</v>
      </c>
      <c r="E88" s="422">
        <f t="shared" si="80"/>
        <v>0</v>
      </c>
      <c r="F88" s="422">
        <f t="shared" si="80"/>
        <v>0</v>
      </c>
      <c r="G88" s="422">
        <f t="shared" si="80"/>
        <v>0</v>
      </c>
      <c r="H88" s="422">
        <f t="shared" si="80"/>
        <v>0</v>
      </c>
      <c r="I88" s="422">
        <f t="shared" si="80"/>
        <v>0</v>
      </c>
      <c r="J88" s="422">
        <f t="shared" si="80"/>
        <v>0</v>
      </c>
      <c r="K88" s="422">
        <f t="shared" si="80"/>
        <v>0</v>
      </c>
      <c r="L88" s="422">
        <f t="shared" si="80"/>
        <v>0</v>
      </c>
      <c r="M88" s="422">
        <f t="shared" si="80"/>
        <v>0</v>
      </c>
      <c r="N88" s="422">
        <f t="shared" si="80"/>
        <v>0</v>
      </c>
      <c r="O88" s="422">
        <f t="shared" si="80"/>
        <v>0</v>
      </c>
      <c r="P88" s="422">
        <f t="shared" si="80"/>
        <v>0</v>
      </c>
      <c r="Q88" s="422">
        <f t="shared" si="80"/>
        <v>0</v>
      </c>
      <c r="R88" s="764" t="s">
        <v>384</v>
      </c>
      <c r="S88" s="765"/>
      <c r="T88" s="764" t="s">
        <v>385</v>
      </c>
      <c r="U88" s="765"/>
      <c r="V88" s="764" t="s">
        <v>388</v>
      </c>
      <c r="W88" s="765"/>
      <c r="AL88" s="116"/>
      <c r="AO88" s="117"/>
      <c r="AP88" s="117"/>
      <c r="AQ88" s="117"/>
      <c r="AR88" s="117"/>
      <c r="AS88" s="117"/>
      <c r="AT88" s="117"/>
      <c r="AU88" s="117"/>
      <c r="AV88" s="117"/>
      <c r="AW88" s="117"/>
      <c r="BR88" s="117"/>
      <c r="CA88" s="116"/>
      <c r="CB88" s="116"/>
      <c r="CC88" s="116"/>
      <c r="CD88" s="116"/>
      <c r="CE88" s="116"/>
    </row>
    <row r="89" spans="1:83" x14ac:dyDescent="0.15">
      <c r="A89" s="25">
        <v>1</v>
      </c>
      <c r="B89" s="84" t="str">
        <f>R65</f>
        <v/>
      </c>
      <c r="C89" s="439">
        <f t="shared" ref="C89:C103" si="81">SUMIF(X$114:X$163,A89,AF$114:AF$163)</f>
        <v>0</v>
      </c>
      <c r="D89" s="439">
        <f t="shared" ref="D89:D103" si="82">SUMIF(X$114:X$163,A89,AG$114:AG$163)</f>
        <v>0</v>
      </c>
      <c r="E89" s="439">
        <f t="shared" ref="E89:E103" si="83">SUMIF(X$114:X$163,A89,AH$114:AH$163)</f>
        <v>0</v>
      </c>
      <c r="F89" s="439">
        <f t="shared" ref="F89:F103" si="84">SUMIF(X$114:X$163,A89,AI$114:AI$163)</f>
        <v>0</v>
      </c>
      <c r="G89" s="439">
        <f t="shared" ref="G89:G103" si="85">SUMIF(X$114:X$163,A89,AJ$114:AJ$163)</f>
        <v>0</v>
      </c>
      <c r="H89" s="439">
        <f t="shared" ref="H89:H103" si="86">SUMIF(X$114:X$163,A89,AK$114:AK$163)</f>
        <v>0</v>
      </c>
      <c r="I89" s="439">
        <f t="shared" ref="I89:I103" si="87">SUMIF(X$114:X$163,A89,AL$114:AL$163)</f>
        <v>0</v>
      </c>
      <c r="J89" s="439">
        <f t="shared" ref="J89:J103" si="88">SUMIF(X$114:X$163,A89,AM$114:AM$163)</f>
        <v>0</v>
      </c>
      <c r="K89" s="439">
        <f t="shared" ref="K89:K103" si="89">SUMIF(X$114:X$163,A89,AN$114:AN$163)</f>
        <v>0</v>
      </c>
      <c r="L89" s="439">
        <f t="shared" ref="L89:L103" si="90">SUMIF(X$114:X$163,A89,AO$114:AO$163)</f>
        <v>0</v>
      </c>
      <c r="M89" s="439">
        <f t="shared" ref="M89:M103" si="91">SUMIF(X$114:X$163,A89,AP$114:AP$163)</f>
        <v>0</v>
      </c>
      <c r="N89" s="439">
        <f t="shared" ref="N89:N103" si="92">SUMIF(X$114:X$163,A89,AQ$114:AQ$163)</f>
        <v>0</v>
      </c>
      <c r="O89" s="439">
        <f t="shared" ref="O89:O103" si="93">SUMIF(X$114:X$163,A89,AR$114:AR$163)</f>
        <v>0</v>
      </c>
      <c r="P89" s="439">
        <f t="shared" ref="P89:P103" si="94">SUMIF(X$114:X$163,A89,AS$114:AS$163)</f>
        <v>0</v>
      </c>
      <c r="Q89" s="439">
        <f t="shared" ref="Q89:Q103" si="95">SUMIF(X$114:X$163,A89,AT$114:AT$163)</f>
        <v>0</v>
      </c>
      <c r="R89" s="759" t="str">
        <f>IF(B89="","",SUM(C89:Q89))</f>
        <v/>
      </c>
      <c r="S89" s="760"/>
      <c r="T89" s="780" t="str">
        <f t="shared" ref="T89:T103" si="96">IF(B89="","",R89*12)</f>
        <v/>
      </c>
      <c r="U89" s="781"/>
      <c r="V89" s="780" t="str">
        <f t="shared" ref="V89:V103" si="97">IF(B89="","",(SUM(AC89:AQ89)*12))</f>
        <v/>
      </c>
      <c r="W89" s="781"/>
      <c r="AB89" s="271" t="s">
        <v>255</v>
      </c>
      <c r="AC89" s="120">
        <f t="shared" ref="AC89:AC103" si="98">IF(AC$108="S",C89,IF(C$107&gt;C89,0,C$107))</f>
        <v>0</v>
      </c>
      <c r="AD89" s="120">
        <f t="shared" ref="AD89:AD103" si="99">IF(AD$108="S",D89,IF(D$107&gt;D89,0,D$107))</f>
        <v>0</v>
      </c>
      <c r="AE89" s="120">
        <f t="shared" ref="AE89:AE103" si="100">IF(AE$108="S",E89,IF(E$107&gt;E89,0,E$107))</f>
        <v>0</v>
      </c>
      <c r="AF89" s="120">
        <f t="shared" ref="AF89:AF103" si="101">IF(AF$108="S",F89,IF(F$107&gt;F89,0,F$107))</f>
        <v>0</v>
      </c>
      <c r="AG89" s="120">
        <f t="shared" ref="AG89:AG103" si="102">IF(AG$108="S",G89,IF(G$107&gt;G89,0,G$107))</f>
        <v>0</v>
      </c>
      <c r="AH89" s="120">
        <f t="shared" ref="AH89:AH103" si="103">IF(AH$108="S",H89,IF(H$107&gt;H89,0,H$107))</f>
        <v>0</v>
      </c>
      <c r="AI89" s="120">
        <f t="shared" ref="AI89:AI103" si="104">IF(AI$108="S",I89,IF(I$107&gt;I89,0,I$107))</f>
        <v>0</v>
      </c>
      <c r="AJ89" s="120">
        <f t="shared" ref="AJ89:AJ103" si="105">IF(AJ$108="S",J89,IF(J$107&gt;J89,0,J$107))</f>
        <v>0</v>
      </c>
      <c r="AK89" s="120">
        <f t="shared" ref="AK89:AK103" si="106">IF(AK$108="S",K89,IF(K$107&gt;K89,0,K$107))</f>
        <v>0</v>
      </c>
      <c r="AL89" s="120">
        <f t="shared" ref="AL89:AL103" si="107">IF(AL$108="S",L89,IF(L$107&gt;L89,0,L$107))</f>
        <v>0</v>
      </c>
      <c r="AM89" s="120">
        <f t="shared" ref="AM89:AM103" si="108">IF(AM$108="S",M89,IF(M$107&gt;M89,0,M$107))</f>
        <v>0</v>
      </c>
      <c r="AN89" s="120">
        <f t="shared" ref="AN89:AN103" si="109">IF(AN$108="S",N89,IF(N$107&gt;N89,0,N$107))</f>
        <v>0</v>
      </c>
      <c r="AO89" s="120">
        <f t="shared" ref="AO89:AO103" si="110">IF(AO$108="S",O89,IF(O$107&gt;O89,0,O$107))</f>
        <v>0</v>
      </c>
      <c r="AP89" s="120">
        <f t="shared" ref="AP89:AP103" si="111">IF(AP$108="S",P89,IF(P$107&gt;P89,0,P$107))</f>
        <v>0</v>
      </c>
      <c r="AQ89" s="120">
        <f t="shared" ref="AQ89:AQ103" si="112">IF(AQ$108="S",Q89,IF(Q$107&gt;Q89,0,Q$107))</f>
        <v>0</v>
      </c>
      <c r="AS89" s="155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  <c r="BG89" s="117"/>
      <c r="BH89" s="117"/>
      <c r="BI89" s="117"/>
      <c r="BJ89" s="117"/>
      <c r="BK89" s="117"/>
      <c r="BL89" s="117"/>
      <c r="BM89" s="117"/>
      <c r="BN89" s="117"/>
      <c r="BO89" s="117"/>
      <c r="BP89" s="117"/>
      <c r="BQ89" s="117"/>
      <c r="BR89" s="1"/>
      <c r="BW89" s="1"/>
      <c r="BX89" s="1"/>
      <c r="BY89" s="1"/>
      <c r="BZ89" s="1"/>
    </row>
    <row r="90" spans="1:83" x14ac:dyDescent="0.15">
      <c r="A90" s="25">
        <v>2</v>
      </c>
      <c r="B90" s="84" t="str">
        <f>R66</f>
        <v/>
      </c>
      <c r="C90" s="439">
        <f t="shared" si="81"/>
        <v>0</v>
      </c>
      <c r="D90" s="439">
        <f t="shared" si="82"/>
        <v>0</v>
      </c>
      <c r="E90" s="439">
        <f t="shared" si="83"/>
        <v>0</v>
      </c>
      <c r="F90" s="439">
        <f t="shared" si="84"/>
        <v>0</v>
      </c>
      <c r="G90" s="439">
        <f t="shared" si="85"/>
        <v>0</v>
      </c>
      <c r="H90" s="439">
        <f t="shared" si="86"/>
        <v>0</v>
      </c>
      <c r="I90" s="439">
        <f t="shared" si="87"/>
        <v>0</v>
      </c>
      <c r="J90" s="439">
        <f t="shared" si="88"/>
        <v>0</v>
      </c>
      <c r="K90" s="439">
        <f t="shared" si="89"/>
        <v>0</v>
      </c>
      <c r="L90" s="439">
        <f t="shared" si="90"/>
        <v>0</v>
      </c>
      <c r="M90" s="439">
        <f t="shared" si="91"/>
        <v>0</v>
      </c>
      <c r="N90" s="439">
        <f t="shared" si="92"/>
        <v>0</v>
      </c>
      <c r="O90" s="439">
        <f t="shared" si="93"/>
        <v>0</v>
      </c>
      <c r="P90" s="439">
        <f t="shared" si="94"/>
        <v>0</v>
      </c>
      <c r="Q90" s="439">
        <f t="shared" si="95"/>
        <v>0</v>
      </c>
      <c r="R90" s="759" t="str">
        <f>IF(B90="","",SUM(C90:Q90))</f>
        <v/>
      </c>
      <c r="S90" s="760"/>
      <c r="T90" s="766" t="str">
        <f t="shared" si="96"/>
        <v/>
      </c>
      <c r="U90" s="767"/>
      <c r="V90" s="766" t="str">
        <f t="shared" si="97"/>
        <v/>
      </c>
      <c r="W90" s="767"/>
      <c r="AB90" s="271">
        <f>(($R$104*Prezzi!O25)/Prezzi!N28)</f>
        <v>0</v>
      </c>
      <c r="AC90" s="120">
        <f t="shared" si="98"/>
        <v>0</v>
      </c>
      <c r="AD90" s="120">
        <f t="shared" si="99"/>
        <v>0</v>
      </c>
      <c r="AE90" s="120">
        <f t="shared" si="100"/>
        <v>0</v>
      </c>
      <c r="AF90" s="120">
        <f t="shared" si="101"/>
        <v>0</v>
      </c>
      <c r="AG90" s="120">
        <f t="shared" si="102"/>
        <v>0</v>
      </c>
      <c r="AH90" s="120">
        <f t="shared" si="103"/>
        <v>0</v>
      </c>
      <c r="AI90" s="120">
        <f t="shared" si="104"/>
        <v>0</v>
      </c>
      <c r="AJ90" s="120">
        <f t="shared" si="105"/>
        <v>0</v>
      </c>
      <c r="AK90" s="120">
        <f t="shared" si="106"/>
        <v>0</v>
      </c>
      <c r="AL90" s="120">
        <f t="shared" si="107"/>
        <v>0</v>
      </c>
      <c r="AM90" s="120">
        <f t="shared" si="108"/>
        <v>0</v>
      </c>
      <c r="AN90" s="120">
        <f t="shared" si="109"/>
        <v>0</v>
      </c>
      <c r="AO90" s="120">
        <f t="shared" si="110"/>
        <v>0</v>
      </c>
      <c r="AP90" s="120">
        <f t="shared" si="111"/>
        <v>0</v>
      </c>
      <c r="AQ90" s="120">
        <f t="shared" si="112"/>
        <v>0</v>
      </c>
      <c r="AR90" s="447"/>
      <c r="AS90" s="155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  <c r="BH90" s="117"/>
      <c r="BI90" s="117"/>
      <c r="BJ90" s="117"/>
      <c r="BK90" s="117"/>
      <c r="BL90" s="117"/>
      <c r="BM90" s="117"/>
      <c r="BN90" s="117"/>
      <c r="BO90" s="117"/>
      <c r="BP90" s="117"/>
      <c r="BQ90" s="117"/>
      <c r="BR90" s="1"/>
      <c r="BW90" s="1"/>
      <c r="BX90" s="1"/>
      <c r="BY90" s="1"/>
      <c r="BZ90" s="1"/>
    </row>
    <row r="91" spans="1:83" x14ac:dyDescent="0.15">
      <c r="A91" s="25">
        <v>3</v>
      </c>
      <c r="B91" s="84" t="str">
        <f t="shared" ref="B91:B103" si="113">R67</f>
        <v/>
      </c>
      <c r="C91" s="439">
        <f t="shared" si="81"/>
        <v>0</v>
      </c>
      <c r="D91" s="439">
        <f t="shared" si="82"/>
        <v>0</v>
      </c>
      <c r="E91" s="439">
        <f t="shared" si="83"/>
        <v>0</v>
      </c>
      <c r="F91" s="439">
        <f t="shared" si="84"/>
        <v>0</v>
      </c>
      <c r="G91" s="439">
        <f t="shared" si="85"/>
        <v>0</v>
      </c>
      <c r="H91" s="439">
        <f t="shared" si="86"/>
        <v>0</v>
      </c>
      <c r="I91" s="439">
        <f t="shared" si="87"/>
        <v>0</v>
      </c>
      <c r="J91" s="439">
        <f t="shared" si="88"/>
        <v>0</v>
      </c>
      <c r="K91" s="439">
        <f t="shared" si="89"/>
        <v>0</v>
      </c>
      <c r="L91" s="439">
        <f t="shared" si="90"/>
        <v>0</v>
      </c>
      <c r="M91" s="439">
        <f t="shared" si="91"/>
        <v>0</v>
      </c>
      <c r="N91" s="439">
        <f t="shared" si="92"/>
        <v>0</v>
      </c>
      <c r="O91" s="439">
        <f t="shared" si="93"/>
        <v>0</v>
      </c>
      <c r="P91" s="439">
        <f t="shared" si="94"/>
        <v>0</v>
      </c>
      <c r="Q91" s="439">
        <f t="shared" si="95"/>
        <v>0</v>
      </c>
      <c r="R91" s="759" t="str">
        <f t="shared" ref="R91:R103" si="114">IF(B91="","",SUM(C91:Q91))</f>
        <v/>
      </c>
      <c r="S91" s="760"/>
      <c r="T91" s="766" t="str">
        <f t="shared" si="96"/>
        <v/>
      </c>
      <c r="U91" s="767"/>
      <c r="V91" s="766" t="str">
        <f t="shared" si="97"/>
        <v/>
      </c>
      <c r="W91" s="767"/>
      <c r="AB91" s="120" t="s">
        <v>386</v>
      </c>
      <c r="AC91" s="120">
        <f t="shared" si="98"/>
        <v>0</v>
      </c>
      <c r="AD91" s="120">
        <f t="shared" si="99"/>
        <v>0</v>
      </c>
      <c r="AE91" s="120">
        <f t="shared" si="100"/>
        <v>0</v>
      </c>
      <c r="AF91" s="120">
        <f t="shared" si="101"/>
        <v>0</v>
      </c>
      <c r="AG91" s="120">
        <f t="shared" si="102"/>
        <v>0</v>
      </c>
      <c r="AH91" s="120">
        <f t="shared" si="103"/>
        <v>0</v>
      </c>
      <c r="AI91" s="120">
        <f t="shared" si="104"/>
        <v>0</v>
      </c>
      <c r="AJ91" s="120">
        <f t="shared" si="105"/>
        <v>0</v>
      </c>
      <c r="AK91" s="120">
        <f t="shared" si="106"/>
        <v>0</v>
      </c>
      <c r="AL91" s="120">
        <f t="shared" si="107"/>
        <v>0</v>
      </c>
      <c r="AM91" s="120">
        <f t="shared" si="108"/>
        <v>0</v>
      </c>
      <c r="AN91" s="120">
        <f t="shared" si="109"/>
        <v>0</v>
      </c>
      <c r="AO91" s="120">
        <f t="shared" si="110"/>
        <v>0</v>
      </c>
      <c r="AP91" s="120">
        <f t="shared" si="111"/>
        <v>0</v>
      </c>
      <c r="AQ91" s="120">
        <f t="shared" si="112"/>
        <v>0</v>
      </c>
      <c r="AR91" s="447"/>
      <c r="AS91" s="155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7"/>
      <c r="BR91" s="1"/>
      <c r="BW91" s="1"/>
      <c r="BX91" s="1"/>
      <c r="BY91" s="1"/>
      <c r="BZ91" s="1"/>
    </row>
    <row r="92" spans="1:83" x14ac:dyDescent="0.15">
      <c r="A92" s="25">
        <v>4</v>
      </c>
      <c r="B92" s="84" t="str">
        <f t="shared" si="113"/>
        <v/>
      </c>
      <c r="C92" s="439">
        <f t="shared" si="81"/>
        <v>0</v>
      </c>
      <c r="D92" s="439">
        <f t="shared" si="82"/>
        <v>0</v>
      </c>
      <c r="E92" s="439">
        <f t="shared" si="83"/>
        <v>0</v>
      </c>
      <c r="F92" s="439">
        <f t="shared" si="84"/>
        <v>0</v>
      </c>
      <c r="G92" s="439">
        <f t="shared" si="85"/>
        <v>0</v>
      </c>
      <c r="H92" s="439">
        <f t="shared" si="86"/>
        <v>0</v>
      </c>
      <c r="I92" s="439">
        <f t="shared" si="87"/>
        <v>0</v>
      </c>
      <c r="J92" s="439">
        <f t="shared" si="88"/>
        <v>0</v>
      </c>
      <c r="K92" s="439">
        <f t="shared" si="89"/>
        <v>0</v>
      </c>
      <c r="L92" s="439">
        <f t="shared" si="90"/>
        <v>0</v>
      </c>
      <c r="M92" s="439">
        <f t="shared" si="91"/>
        <v>0</v>
      </c>
      <c r="N92" s="439">
        <f t="shared" si="92"/>
        <v>0</v>
      </c>
      <c r="O92" s="439">
        <f t="shared" si="93"/>
        <v>0</v>
      </c>
      <c r="P92" s="439">
        <f t="shared" si="94"/>
        <v>0</v>
      </c>
      <c r="Q92" s="439">
        <f t="shared" si="95"/>
        <v>0</v>
      </c>
      <c r="R92" s="759" t="str">
        <f t="shared" si="114"/>
        <v/>
      </c>
      <c r="S92" s="760"/>
      <c r="T92" s="766" t="str">
        <f t="shared" si="96"/>
        <v/>
      </c>
      <c r="U92" s="767"/>
      <c r="V92" s="766" t="str">
        <f t="shared" si="97"/>
        <v/>
      </c>
      <c r="W92" s="767"/>
      <c r="AB92" s="120">
        <f>AB90/Prezzi!O22</f>
        <v>0</v>
      </c>
      <c r="AC92" s="120">
        <f t="shared" si="98"/>
        <v>0</v>
      </c>
      <c r="AD92" s="120">
        <f t="shared" si="99"/>
        <v>0</v>
      </c>
      <c r="AE92" s="120">
        <f t="shared" si="100"/>
        <v>0</v>
      </c>
      <c r="AF92" s="120">
        <f t="shared" si="101"/>
        <v>0</v>
      </c>
      <c r="AG92" s="120">
        <f t="shared" si="102"/>
        <v>0</v>
      </c>
      <c r="AH92" s="120">
        <f t="shared" si="103"/>
        <v>0</v>
      </c>
      <c r="AI92" s="120">
        <f t="shared" si="104"/>
        <v>0</v>
      </c>
      <c r="AJ92" s="120">
        <f t="shared" si="105"/>
        <v>0</v>
      </c>
      <c r="AK92" s="120">
        <f t="shared" si="106"/>
        <v>0</v>
      </c>
      <c r="AL92" s="120">
        <f t="shared" si="107"/>
        <v>0</v>
      </c>
      <c r="AM92" s="120">
        <f t="shared" si="108"/>
        <v>0</v>
      </c>
      <c r="AN92" s="120">
        <f t="shared" si="109"/>
        <v>0</v>
      </c>
      <c r="AO92" s="120">
        <f t="shared" si="110"/>
        <v>0</v>
      </c>
      <c r="AP92" s="120">
        <f t="shared" si="111"/>
        <v>0</v>
      </c>
      <c r="AQ92" s="120">
        <f t="shared" si="112"/>
        <v>0</v>
      </c>
      <c r="AR92" s="447"/>
      <c r="AS92" s="155"/>
      <c r="AT92" s="117"/>
      <c r="AU92" s="480"/>
      <c r="AV92" s="480"/>
      <c r="AW92" s="480"/>
      <c r="AX92" s="480"/>
      <c r="AY92" s="480"/>
      <c r="AZ92" s="480"/>
      <c r="BA92" s="480"/>
      <c r="BB92" s="480"/>
      <c r="BC92" s="480"/>
      <c r="BD92" s="480"/>
      <c r="BE92" s="480"/>
      <c r="BF92" s="480"/>
      <c r="BG92" s="480"/>
      <c r="BH92" s="480"/>
      <c r="BI92" s="480"/>
      <c r="BJ92" s="480"/>
      <c r="BK92" s="480"/>
      <c r="BL92" s="480"/>
      <c r="BM92" s="480"/>
      <c r="BN92" s="480"/>
      <c r="BO92" s="480"/>
      <c r="BP92" s="480"/>
      <c r="BQ92" s="480"/>
      <c r="BR92" s="1"/>
      <c r="BW92" s="1"/>
      <c r="BX92" s="1"/>
      <c r="BY92" s="1"/>
      <c r="BZ92" s="1"/>
    </row>
    <row r="93" spans="1:83" x14ac:dyDescent="0.15">
      <c r="A93" s="25">
        <v>5</v>
      </c>
      <c r="B93" s="84" t="str">
        <f t="shared" si="113"/>
        <v/>
      </c>
      <c r="C93" s="439">
        <f t="shared" si="81"/>
        <v>0</v>
      </c>
      <c r="D93" s="439">
        <f t="shared" si="82"/>
        <v>0</v>
      </c>
      <c r="E93" s="439">
        <f t="shared" si="83"/>
        <v>0</v>
      </c>
      <c r="F93" s="439">
        <f t="shared" si="84"/>
        <v>0</v>
      </c>
      <c r="G93" s="439">
        <f t="shared" si="85"/>
        <v>0</v>
      </c>
      <c r="H93" s="439">
        <f t="shared" si="86"/>
        <v>0</v>
      </c>
      <c r="I93" s="439">
        <f t="shared" si="87"/>
        <v>0</v>
      </c>
      <c r="J93" s="439">
        <f t="shared" si="88"/>
        <v>0</v>
      </c>
      <c r="K93" s="439">
        <f t="shared" si="89"/>
        <v>0</v>
      </c>
      <c r="L93" s="439">
        <f t="shared" si="90"/>
        <v>0</v>
      </c>
      <c r="M93" s="439">
        <f t="shared" si="91"/>
        <v>0</v>
      </c>
      <c r="N93" s="439">
        <f t="shared" si="92"/>
        <v>0</v>
      </c>
      <c r="O93" s="439">
        <f t="shared" si="93"/>
        <v>0</v>
      </c>
      <c r="P93" s="439">
        <f t="shared" si="94"/>
        <v>0</v>
      </c>
      <c r="Q93" s="439">
        <f t="shared" si="95"/>
        <v>0</v>
      </c>
      <c r="R93" s="759" t="str">
        <f t="shared" si="114"/>
        <v/>
      </c>
      <c r="S93" s="760"/>
      <c r="T93" s="766" t="str">
        <f t="shared" si="96"/>
        <v/>
      </c>
      <c r="U93" s="767"/>
      <c r="V93" s="766" t="str">
        <f t="shared" si="97"/>
        <v/>
      </c>
      <c r="W93" s="767"/>
      <c r="AB93" s="120" t="s">
        <v>387</v>
      </c>
      <c r="AC93" s="120">
        <f t="shared" si="98"/>
        <v>0</v>
      </c>
      <c r="AD93" s="120">
        <f t="shared" si="99"/>
        <v>0</v>
      </c>
      <c r="AE93" s="120">
        <f t="shared" si="100"/>
        <v>0</v>
      </c>
      <c r="AF93" s="120">
        <f t="shared" si="101"/>
        <v>0</v>
      </c>
      <c r="AG93" s="120">
        <f t="shared" si="102"/>
        <v>0</v>
      </c>
      <c r="AH93" s="120">
        <f t="shared" si="103"/>
        <v>0</v>
      </c>
      <c r="AI93" s="120">
        <f t="shared" si="104"/>
        <v>0</v>
      </c>
      <c r="AJ93" s="120">
        <f t="shared" si="105"/>
        <v>0</v>
      </c>
      <c r="AK93" s="120">
        <f t="shared" si="106"/>
        <v>0</v>
      </c>
      <c r="AL93" s="120">
        <f t="shared" si="107"/>
        <v>0</v>
      </c>
      <c r="AM93" s="120">
        <f t="shared" si="108"/>
        <v>0</v>
      </c>
      <c r="AN93" s="120">
        <f t="shared" si="109"/>
        <v>0</v>
      </c>
      <c r="AO93" s="120">
        <f t="shared" si="110"/>
        <v>0</v>
      </c>
      <c r="AP93" s="120">
        <f t="shared" si="111"/>
        <v>0</v>
      </c>
      <c r="AQ93" s="120">
        <f t="shared" si="112"/>
        <v>0</v>
      </c>
      <c r="AR93" s="447"/>
      <c r="AS93" s="155"/>
      <c r="AT93" s="117"/>
      <c r="AU93" s="480"/>
      <c r="AV93" s="480"/>
      <c r="AW93" s="480"/>
      <c r="AX93" s="480"/>
      <c r="AY93" s="480"/>
      <c r="AZ93" s="480"/>
      <c r="BA93" s="480"/>
      <c r="BB93" s="480"/>
      <c r="BC93" s="480"/>
      <c r="BD93" s="480"/>
      <c r="BE93" s="480"/>
      <c r="BF93" s="480"/>
      <c r="BG93" s="480"/>
      <c r="BH93" s="480"/>
      <c r="BI93" s="480"/>
      <c r="BJ93" s="480"/>
      <c r="BK93" s="480"/>
      <c r="BL93" s="480"/>
      <c r="BM93" s="480"/>
      <c r="BN93" s="480"/>
      <c r="BO93" s="480"/>
      <c r="BP93" s="480"/>
      <c r="BQ93" s="480"/>
      <c r="BR93" s="1"/>
      <c r="BW93" s="1"/>
      <c r="BX93" s="1"/>
      <c r="BY93" s="1"/>
      <c r="BZ93" s="1"/>
    </row>
    <row r="94" spans="1:83" x14ac:dyDescent="0.15">
      <c r="A94" s="25">
        <v>6</v>
      </c>
      <c r="B94" s="84" t="str">
        <f t="shared" si="113"/>
        <v/>
      </c>
      <c r="C94" s="439">
        <f t="shared" si="81"/>
        <v>0</v>
      </c>
      <c r="D94" s="439">
        <f t="shared" si="82"/>
        <v>0</v>
      </c>
      <c r="E94" s="439">
        <f t="shared" si="83"/>
        <v>0</v>
      </c>
      <c r="F94" s="439">
        <f t="shared" si="84"/>
        <v>0</v>
      </c>
      <c r="G94" s="439">
        <f t="shared" si="85"/>
        <v>0</v>
      </c>
      <c r="H94" s="439">
        <f t="shared" si="86"/>
        <v>0</v>
      </c>
      <c r="I94" s="439">
        <f t="shared" si="87"/>
        <v>0</v>
      </c>
      <c r="J94" s="439">
        <f t="shared" si="88"/>
        <v>0</v>
      </c>
      <c r="K94" s="439">
        <f t="shared" si="89"/>
        <v>0</v>
      </c>
      <c r="L94" s="439">
        <f t="shared" si="90"/>
        <v>0</v>
      </c>
      <c r="M94" s="439">
        <f t="shared" si="91"/>
        <v>0</v>
      </c>
      <c r="N94" s="439">
        <f t="shared" si="92"/>
        <v>0</v>
      </c>
      <c r="O94" s="439">
        <f t="shared" si="93"/>
        <v>0</v>
      </c>
      <c r="P94" s="439">
        <f t="shared" si="94"/>
        <v>0</v>
      </c>
      <c r="Q94" s="439">
        <f t="shared" si="95"/>
        <v>0</v>
      </c>
      <c r="R94" s="759" t="str">
        <f t="shared" si="114"/>
        <v/>
      </c>
      <c r="S94" s="760"/>
      <c r="T94" s="766" t="str">
        <f t="shared" si="96"/>
        <v/>
      </c>
      <c r="U94" s="767"/>
      <c r="V94" s="766" t="str">
        <f t="shared" si="97"/>
        <v/>
      </c>
      <c r="W94" s="767"/>
      <c r="AB94" s="120">
        <f>(($R$107*Prezzi!O25)/Prezzi!N28)</f>
        <v>0</v>
      </c>
      <c r="AC94" s="120">
        <f t="shared" si="98"/>
        <v>0</v>
      </c>
      <c r="AD94" s="120">
        <f t="shared" si="99"/>
        <v>0</v>
      </c>
      <c r="AE94" s="120">
        <f t="shared" si="100"/>
        <v>0</v>
      </c>
      <c r="AF94" s="120">
        <f t="shared" si="101"/>
        <v>0</v>
      </c>
      <c r="AG94" s="120">
        <f t="shared" si="102"/>
        <v>0</v>
      </c>
      <c r="AH94" s="120">
        <f t="shared" si="103"/>
        <v>0</v>
      </c>
      <c r="AI94" s="120">
        <f t="shared" si="104"/>
        <v>0</v>
      </c>
      <c r="AJ94" s="120">
        <f t="shared" si="105"/>
        <v>0</v>
      </c>
      <c r="AK94" s="120">
        <f t="shared" si="106"/>
        <v>0</v>
      </c>
      <c r="AL94" s="120">
        <f t="shared" si="107"/>
        <v>0</v>
      </c>
      <c r="AM94" s="120">
        <f t="shared" si="108"/>
        <v>0</v>
      </c>
      <c r="AN94" s="120">
        <f t="shared" si="109"/>
        <v>0</v>
      </c>
      <c r="AO94" s="120">
        <f t="shared" si="110"/>
        <v>0</v>
      </c>
      <c r="AP94" s="120">
        <f t="shared" si="111"/>
        <v>0</v>
      </c>
      <c r="AQ94" s="120">
        <f t="shared" si="112"/>
        <v>0</v>
      </c>
      <c r="AR94" s="447"/>
      <c r="AS94" s="155"/>
      <c r="AT94" s="117"/>
      <c r="AU94" s="480"/>
      <c r="AV94" s="480"/>
      <c r="AW94" s="480"/>
      <c r="AX94" s="480"/>
      <c r="AY94" s="480"/>
      <c r="AZ94" s="480"/>
      <c r="BA94" s="480"/>
      <c r="BB94" s="480"/>
      <c r="BC94" s="480"/>
      <c r="BD94" s="480"/>
      <c r="BE94" s="480"/>
      <c r="BF94" s="480"/>
      <c r="BG94" s="480"/>
      <c r="BH94" s="480"/>
      <c r="BI94" s="480"/>
      <c r="BJ94" s="480"/>
      <c r="BK94" s="480"/>
      <c r="BL94" s="480"/>
      <c r="BM94" s="480"/>
      <c r="BN94" s="480"/>
      <c r="BO94" s="480"/>
      <c r="BP94" s="480"/>
      <c r="BQ94" s="480"/>
      <c r="BR94" s="1"/>
      <c r="BW94" s="1"/>
      <c r="BX94" s="1"/>
      <c r="BY94" s="1"/>
      <c r="BZ94" s="1"/>
    </row>
    <row r="95" spans="1:83" x14ac:dyDescent="0.15">
      <c r="A95" s="25">
        <v>7</v>
      </c>
      <c r="B95" s="84" t="str">
        <f t="shared" si="113"/>
        <v/>
      </c>
      <c r="C95" s="439">
        <f t="shared" si="81"/>
        <v>0</v>
      </c>
      <c r="D95" s="439">
        <f t="shared" si="82"/>
        <v>0</v>
      </c>
      <c r="E95" s="439">
        <f t="shared" si="83"/>
        <v>0</v>
      </c>
      <c r="F95" s="439">
        <f t="shared" si="84"/>
        <v>0</v>
      </c>
      <c r="G95" s="439">
        <f t="shared" si="85"/>
        <v>0</v>
      </c>
      <c r="H95" s="439">
        <f t="shared" si="86"/>
        <v>0</v>
      </c>
      <c r="I95" s="439">
        <f t="shared" si="87"/>
        <v>0</v>
      </c>
      <c r="J95" s="439">
        <f t="shared" si="88"/>
        <v>0</v>
      </c>
      <c r="K95" s="439">
        <f t="shared" si="89"/>
        <v>0</v>
      </c>
      <c r="L95" s="439">
        <f t="shared" si="90"/>
        <v>0</v>
      </c>
      <c r="M95" s="439">
        <f t="shared" si="91"/>
        <v>0</v>
      </c>
      <c r="N95" s="439">
        <f t="shared" si="92"/>
        <v>0</v>
      </c>
      <c r="O95" s="439">
        <f t="shared" si="93"/>
        <v>0</v>
      </c>
      <c r="P95" s="439">
        <f t="shared" si="94"/>
        <v>0</v>
      </c>
      <c r="Q95" s="439">
        <f t="shared" si="95"/>
        <v>0</v>
      </c>
      <c r="R95" s="759" t="str">
        <f t="shared" si="114"/>
        <v/>
      </c>
      <c r="S95" s="760"/>
      <c r="T95" s="766" t="str">
        <f t="shared" si="96"/>
        <v/>
      </c>
      <c r="U95" s="767"/>
      <c r="V95" s="766" t="str">
        <f t="shared" si="97"/>
        <v/>
      </c>
      <c r="W95" s="767"/>
      <c r="AB95" s="120" t="s">
        <v>386</v>
      </c>
      <c r="AC95" s="120">
        <f t="shared" si="98"/>
        <v>0</v>
      </c>
      <c r="AD95" s="120">
        <f t="shared" si="99"/>
        <v>0</v>
      </c>
      <c r="AE95" s="120">
        <f t="shared" si="100"/>
        <v>0</v>
      </c>
      <c r="AF95" s="120">
        <f t="shared" si="101"/>
        <v>0</v>
      </c>
      <c r="AG95" s="120">
        <f t="shared" si="102"/>
        <v>0</v>
      </c>
      <c r="AH95" s="120">
        <f t="shared" si="103"/>
        <v>0</v>
      </c>
      <c r="AI95" s="120">
        <f t="shared" si="104"/>
        <v>0</v>
      </c>
      <c r="AJ95" s="120">
        <f t="shared" si="105"/>
        <v>0</v>
      </c>
      <c r="AK95" s="120">
        <f t="shared" si="106"/>
        <v>0</v>
      </c>
      <c r="AL95" s="120">
        <f t="shared" si="107"/>
        <v>0</v>
      </c>
      <c r="AM95" s="120">
        <f t="shared" si="108"/>
        <v>0</v>
      </c>
      <c r="AN95" s="120">
        <f t="shared" si="109"/>
        <v>0</v>
      </c>
      <c r="AO95" s="120">
        <f t="shared" si="110"/>
        <v>0</v>
      </c>
      <c r="AP95" s="120">
        <f t="shared" si="111"/>
        <v>0</v>
      </c>
      <c r="AQ95" s="120">
        <f t="shared" si="112"/>
        <v>0</v>
      </c>
      <c r="AR95" s="447"/>
      <c r="AS95" s="155"/>
      <c r="AT95" s="117"/>
      <c r="AU95" s="480"/>
      <c r="AV95" s="480"/>
      <c r="AW95" s="480"/>
      <c r="AX95" s="480"/>
      <c r="AY95" s="480"/>
      <c r="AZ95" s="480"/>
      <c r="BA95" s="480"/>
      <c r="BB95" s="480"/>
      <c r="BC95" s="480"/>
      <c r="BD95" s="480"/>
      <c r="BE95" s="480"/>
      <c r="BF95" s="480"/>
      <c r="BG95" s="480"/>
      <c r="BH95" s="480"/>
      <c r="BI95" s="480"/>
      <c r="BJ95" s="480"/>
      <c r="BK95" s="480"/>
      <c r="BL95" s="480"/>
      <c r="BM95" s="480"/>
      <c r="BN95" s="480"/>
      <c r="BO95" s="480"/>
      <c r="BP95" s="480"/>
      <c r="BQ95" s="480"/>
      <c r="BR95" s="1"/>
      <c r="BW95" s="1"/>
      <c r="BX95" s="1"/>
      <c r="BY95" s="1"/>
      <c r="BZ95" s="1"/>
    </row>
    <row r="96" spans="1:83" x14ac:dyDescent="0.15">
      <c r="A96" s="25">
        <v>8</v>
      </c>
      <c r="B96" s="84" t="str">
        <f t="shared" si="113"/>
        <v/>
      </c>
      <c r="C96" s="439">
        <f t="shared" si="81"/>
        <v>0</v>
      </c>
      <c r="D96" s="439">
        <f t="shared" si="82"/>
        <v>0</v>
      </c>
      <c r="E96" s="439">
        <f t="shared" si="83"/>
        <v>0</v>
      </c>
      <c r="F96" s="439">
        <f t="shared" si="84"/>
        <v>0</v>
      </c>
      <c r="G96" s="439">
        <f t="shared" si="85"/>
        <v>0</v>
      </c>
      <c r="H96" s="439">
        <f t="shared" si="86"/>
        <v>0</v>
      </c>
      <c r="I96" s="439">
        <f t="shared" si="87"/>
        <v>0</v>
      </c>
      <c r="J96" s="439">
        <f t="shared" si="88"/>
        <v>0</v>
      </c>
      <c r="K96" s="439">
        <f t="shared" si="89"/>
        <v>0</v>
      </c>
      <c r="L96" s="439">
        <f t="shared" si="90"/>
        <v>0</v>
      </c>
      <c r="M96" s="439">
        <f t="shared" si="91"/>
        <v>0</v>
      </c>
      <c r="N96" s="439">
        <f t="shared" si="92"/>
        <v>0</v>
      </c>
      <c r="O96" s="439">
        <f t="shared" si="93"/>
        <v>0</v>
      </c>
      <c r="P96" s="439">
        <f t="shared" si="94"/>
        <v>0</v>
      </c>
      <c r="Q96" s="439">
        <f t="shared" si="95"/>
        <v>0</v>
      </c>
      <c r="R96" s="759" t="str">
        <f t="shared" si="114"/>
        <v/>
      </c>
      <c r="S96" s="760"/>
      <c r="T96" s="766" t="str">
        <f t="shared" si="96"/>
        <v/>
      </c>
      <c r="U96" s="767"/>
      <c r="V96" s="766" t="str">
        <f t="shared" si="97"/>
        <v/>
      </c>
      <c r="W96" s="767"/>
      <c r="AB96" s="120">
        <f>AB94/Prezzi!O22</f>
        <v>0</v>
      </c>
      <c r="AC96" s="120">
        <f t="shared" si="98"/>
        <v>0</v>
      </c>
      <c r="AD96" s="120">
        <f t="shared" si="99"/>
        <v>0</v>
      </c>
      <c r="AE96" s="120">
        <f t="shared" si="100"/>
        <v>0</v>
      </c>
      <c r="AF96" s="120">
        <f t="shared" si="101"/>
        <v>0</v>
      </c>
      <c r="AG96" s="120">
        <f t="shared" si="102"/>
        <v>0</v>
      </c>
      <c r="AH96" s="120">
        <f t="shared" si="103"/>
        <v>0</v>
      </c>
      <c r="AI96" s="120">
        <f t="shared" si="104"/>
        <v>0</v>
      </c>
      <c r="AJ96" s="120">
        <f t="shared" si="105"/>
        <v>0</v>
      </c>
      <c r="AK96" s="120">
        <f t="shared" si="106"/>
        <v>0</v>
      </c>
      <c r="AL96" s="120">
        <f t="shared" si="107"/>
        <v>0</v>
      </c>
      <c r="AM96" s="120">
        <f t="shared" si="108"/>
        <v>0</v>
      </c>
      <c r="AN96" s="120">
        <f t="shared" si="109"/>
        <v>0</v>
      </c>
      <c r="AO96" s="120">
        <f t="shared" si="110"/>
        <v>0</v>
      </c>
      <c r="AP96" s="120">
        <f t="shared" si="111"/>
        <v>0</v>
      </c>
      <c r="AQ96" s="120">
        <f t="shared" si="112"/>
        <v>0</v>
      </c>
      <c r="AR96" s="447"/>
      <c r="AS96" s="155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  <c r="BG96" s="117"/>
      <c r="BH96" s="117"/>
      <c r="BI96" s="117"/>
      <c r="BJ96" s="117"/>
      <c r="BK96" s="117"/>
      <c r="BL96" s="117"/>
      <c r="BM96" s="117"/>
      <c r="BN96" s="117"/>
      <c r="BO96" s="117"/>
      <c r="BP96" s="117"/>
      <c r="BQ96" s="117"/>
      <c r="BR96" s="1"/>
      <c r="BW96" s="1"/>
      <c r="BX96" s="1"/>
      <c r="BY96" s="1"/>
      <c r="BZ96" s="1"/>
    </row>
    <row r="97" spans="1:78" x14ac:dyDescent="0.15">
      <c r="A97" s="25">
        <v>9</v>
      </c>
      <c r="B97" s="84" t="str">
        <f t="shared" si="113"/>
        <v/>
      </c>
      <c r="C97" s="439">
        <f t="shared" si="81"/>
        <v>0</v>
      </c>
      <c r="D97" s="439">
        <f t="shared" si="82"/>
        <v>0</v>
      </c>
      <c r="E97" s="439">
        <f t="shared" si="83"/>
        <v>0</v>
      </c>
      <c r="F97" s="439">
        <f t="shared" si="84"/>
        <v>0</v>
      </c>
      <c r="G97" s="439">
        <f t="shared" si="85"/>
        <v>0</v>
      </c>
      <c r="H97" s="439">
        <f t="shared" si="86"/>
        <v>0</v>
      </c>
      <c r="I97" s="439">
        <f t="shared" si="87"/>
        <v>0</v>
      </c>
      <c r="J97" s="439">
        <f t="shared" si="88"/>
        <v>0</v>
      </c>
      <c r="K97" s="439">
        <f t="shared" si="89"/>
        <v>0</v>
      </c>
      <c r="L97" s="439">
        <f t="shared" si="90"/>
        <v>0</v>
      </c>
      <c r="M97" s="439">
        <f t="shared" si="91"/>
        <v>0</v>
      </c>
      <c r="N97" s="439">
        <f t="shared" si="92"/>
        <v>0</v>
      </c>
      <c r="O97" s="439">
        <f t="shared" si="93"/>
        <v>0</v>
      </c>
      <c r="P97" s="439">
        <f t="shared" si="94"/>
        <v>0</v>
      </c>
      <c r="Q97" s="439">
        <f t="shared" si="95"/>
        <v>0</v>
      </c>
      <c r="R97" s="759" t="str">
        <f t="shared" si="114"/>
        <v/>
      </c>
      <c r="S97" s="760"/>
      <c r="T97" s="766" t="str">
        <f t="shared" si="96"/>
        <v/>
      </c>
      <c r="U97" s="767"/>
      <c r="V97" s="766" t="str">
        <f t="shared" si="97"/>
        <v/>
      </c>
      <c r="W97" s="767"/>
      <c r="AB97" s="120"/>
      <c r="AC97" s="120">
        <f t="shared" si="98"/>
        <v>0</v>
      </c>
      <c r="AD97" s="120">
        <f t="shared" si="99"/>
        <v>0</v>
      </c>
      <c r="AE97" s="120">
        <f t="shared" si="100"/>
        <v>0</v>
      </c>
      <c r="AF97" s="120">
        <f t="shared" si="101"/>
        <v>0</v>
      </c>
      <c r="AG97" s="120">
        <f t="shared" si="102"/>
        <v>0</v>
      </c>
      <c r="AH97" s="120">
        <f t="shared" si="103"/>
        <v>0</v>
      </c>
      <c r="AI97" s="120">
        <f t="shared" si="104"/>
        <v>0</v>
      </c>
      <c r="AJ97" s="120">
        <f t="shared" si="105"/>
        <v>0</v>
      </c>
      <c r="AK97" s="120">
        <f t="shared" si="106"/>
        <v>0</v>
      </c>
      <c r="AL97" s="120">
        <f t="shared" si="107"/>
        <v>0</v>
      </c>
      <c r="AM97" s="120">
        <f t="shared" si="108"/>
        <v>0</v>
      </c>
      <c r="AN97" s="120">
        <f t="shared" si="109"/>
        <v>0</v>
      </c>
      <c r="AO97" s="120">
        <f t="shared" si="110"/>
        <v>0</v>
      </c>
      <c r="AP97" s="120">
        <f t="shared" si="111"/>
        <v>0</v>
      </c>
      <c r="AQ97" s="120">
        <f t="shared" si="112"/>
        <v>0</v>
      </c>
      <c r="AR97" s="447"/>
      <c r="AS97" s="155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  <c r="BG97" s="117"/>
      <c r="BH97" s="117"/>
      <c r="BI97" s="117"/>
      <c r="BJ97" s="117"/>
      <c r="BK97" s="117"/>
      <c r="BL97" s="117"/>
      <c r="BM97" s="117"/>
      <c r="BN97" s="117"/>
      <c r="BO97" s="117"/>
      <c r="BP97" s="117"/>
      <c r="BQ97" s="117"/>
      <c r="BR97" s="1"/>
      <c r="BW97" s="1"/>
      <c r="BX97" s="1"/>
      <c r="BY97" s="1"/>
      <c r="BZ97" s="1"/>
    </row>
    <row r="98" spans="1:78" x14ac:dyDescent="0.15">
      <c r="A98" s="25">
        <v>10</v>
      </c>
      <c r="B98" s="84" t="str">
        <f t="shared" si="113"/>
        <v/>
      </c>
      <c r="C98" s="439">
        <f t="shared" si="81"/>
        <v>0</v>
      </c>
      <c r="D98" s="439">
        <f t="shared" si="82"/>
        <v>0</v>
      </c>
      <c r="E98" s="439">
        <f t="shared" si="83"/>
        <v>0</v>
      </c>
      <c r="F98" s="439">
        <f t="shared" si="84"/>
        <v>0</v>
      </c>
      <c r="G98" s="439">
        <f t="shared" si="85"/>
        <v>0</v>
      </c>
      <c r="H98" s="439">
        <f t="shared" si="86"/>
        <v>0</v>
      </c>
      <c r="I98" s="439">
        <f t="shared" si="87"/>
        <v>0</v>
      </c>
      <c r="J98" s="439">
        <f t="shared" si="88"/>
        <v>0</v>
      </c>
      <c r="K98" s="439">
        <f t="shared" si="89"/>
        <v>0</v>
      </c>
      <c r="L98" s="439">
        <f t="shared" si="90"/>
        <v>0</v>
      </c>
      <c r="M98" s="439">
        <f t="shared" si="91"/>
        <v>0</v>
      </c>
      <c r="N98" s="439">
        <f t="shared" si="92"/>
        <v>0</v>
      </c>
      <c r="O98" s="439">
        <f t="shared" si="93"/>
        <v>0</v>
      </c>
      <c r="P98" s="439">
        <f t="shared" si="94"/>
        <v>0</v>
      </c>
      <c r="Q98" s="439">
        <f t="shared" si="95"/>
        <v>0</v>
      </c>
      <c r="R98" s="759" t="str">
        <f t="shared" si="114"/>
        <v/>
      </c>
      <c r="S98" s="760"/>
      <c r="T98" s="766" t="str">
        <f t="shared" si="96"/>
        <v/>
      </c>
      <c r="U98" s="767"/>
      <c r="V98" s="766" t="str">
        <f t="shared" si="97"/>
        <v/>
      </c>
      <c r="W98" s="767"/>
      <c r="AB98" s="120"/>
      <c r="AC98" s="120">
        <f t="shared" si="98"/>
        <v>0</v>
      </c>
      <c r="AD98" s="120">
        <f t="shared" si="99"/>
        <v>0</v>
      </c>
      <c r="AE98" s="120">
        <f t="shared" si="100"/>
        <v>0</v>
      </c>
      <c r="AF98" s="120">
        <f t="shared" si="101"/>
        <v>0</v>
      </c>
      <c r="AG98" s="120">
        <f t="shared" si="102"/>
        <v>0</v>
      </c>
      <c r="AH98" s="120">
        <f t="shared" si="103"/>
        <v>0</v>
      </c>
      <c r="AI98" s="120">
        <f t="shared" si="104"/>
        <v>0</v>
      </c>
      <c r="AJ98" s="120">
        <f t="shared" si="105"/>
        <v>0</v>
      </c>
      <c r="AK98" s="120">
        <f t="shared" si="106"/>
        <v>0</v>
      </c>
      <c r="AL98" s="120">
        <f t="shared" si="107"/>
        <v>0</v>
      </c>
      <c r="AM98" s="120">
        <f t="shared" si="108"/>
        <v>0</v>
      </c>
      <c r="AN98" s="120">
        <f t="shared" si="109"/>
        <v>0</v>
      </c>
      <c r="AO98" s="120">
        <f t="shared" si="110"/>
        <v>0</v>
      </c>
      <c r="AP98" s="120">
        <f t="shared" si="111"/>
        <v>0</v>
      </c>
      <c r="AQ98" s="120">
        <f t="shared" si="112"/>
        <v>0</v>
      </c>
      <c r="AR98" s="447"/>
      <c r="AS98" s="155"/>
      <c r="AT98" s="117"/>
      <c r="AU98" s="324"/>
      <c r="AV98" s="324"/>
      <c r="AW98" s="324"/>
      <c r="AX98" s="324"/>
      <c r="AY98" s="324"/>
      <c r="AZ98" s="324"/>
      <c r="BA98" s="324"/>
      <c r="BB98" s="324"/>
      <c r="BC98" s="324"/>
      <c r="BD98" s="324"/>
      <c r="BE98" s="324"/>
      <c r="BF98" s="324"/>
      <c r="BG98" s="324"/>
      <c r="BH98" s="324"/>
      <c r="BI98" s="324"/>
      <c r="BJ98" s="324"/>
      <c r="BK98" s="324"/>
      <c r="BL98" s="324"/>
      <c r="BM98" s="324"/>
      <c r="BN98" s="324"/>
      <c r="BO98" s="324"/>
      <c r="BP98" s="324"/>
      <c r="BQ98" s="324"/>
      <c r="BR98" s="1"/>
      <c r="BW98" s="1"/>
      <c r="BX98" s="1"/>
      <c r="BY98" s="1"/>
      <c r="BZ98" s="1"/>
    </row>
    <row r="99" spans="1:78" x14ac:dyDescent="0.15">
      <c r="A99" s="25">
        <v>11</v>
      </c>
      <c r="B99" s="84" t="str">
        <f t="shared" si="113"/>
        <v/>
      </c>
      <c r="C99" s="439">
        <f t="shared" si="81"/>
        <v>0</v>
      </c>
      <c r="D99" s="439">
        <f t="shared" si="82"/>
        <v>0</v>
      </c>
      <c r="E99" s="439">
        <f t="shared" si="83"/>
        <v>0</v>
      </c>
      <c r="F99" s="439">
        <f t="shared" si="84"/>
        <v>0</v>
      </c>
      <c r="G99" s="439">
        <f t="shared" si="85"/>
        <v>0</v>
      </c>
      <c r="H99" s="439">
        <f t="shared" si="86"/>
        <v>0</v>
      </c>
      <c r="I99" s="439">
        <f t="shared" si="87"/>
        <v>0</v>
      </c>
      <c r="J99" s="439">
        <f t="shared" si="88"/>
        <v>0</v>
      </c>
      <c r="K99" s="439">
        <f t="shared" si="89"/>
        <v>0</v>
      </c>
      <c r="L99" s="439">
        <f t="shared" si="90"/>
        <v>0</v>
      </c>
      <c r="M99" s="439">
        <f t="shared" si="91"/>
        <v>0</v>
      </c>
      <c r="N99" s="439">
        <f t="shared" si="92"/>
        <v>0</v>
      </c>
      <c r="O99" s="439">
        <f t="shared" si="93"/>
        <v>0</v>
      </c>
      <c r="P99" s="439">
        <f t="shared" si="94"/>
        <v>0</v>
      </c>
      <c r="Q99" s="439">
        <f t="shared" si="95"/>
        <v>0</v>
      </c>
      <c r="R99" s="759" t="str">
        <f t="shared" si="114"/>
        <v/>
      </c>
      <c r="S99" s="760"/>
      <c r="T99" s="766" t="str">
        <f t="shared" si="96"/>
        <v/>
      </c>
      <c r="U99" s="767"/>
      <c r="V99" s="766" t="str">
        <f t="shared" si="97"/>
        <v/>
      </c>
      <c r="W99" s="767"/>
      <c r="AB99" s="120"/>
      <c r="AC99" s="120">
        <f t="shared" si="98"/>
        <v>0</v>
      </c>
      <c r="AD99" s="120">
        <f t="shared" si="99"/>
        <v>0</v>
      </c>
      <c r="AE99" s="120">
        <f t="shared" si="100"/>
        <v>0</v>
      </c>
      <c r="AF99" s="120">
        <f t="shared" si="101"/>
        <v>0</v>
      </c>
      <c r="AG99" s="120">
        <f t="shared" si="102"/>
        <v>0</v>
      </c>
      <c r="AH99" s="120">
        <f t="shared" si="103"/>
        <v>0</v>
      </c>
      <c r="AI99" s="120">
        <f t="shared" si="104"/>
        <v>0</v>
      </c>
      <c r="AJ99" s="120">
        <f t="shared" si="105"/>
        <v>0</v>
      </c>
      <c r="AK99" s="120">
        <f t="shared" si="106"/>
        <v>0</v>
      </c>
      <c r="AL99" s="120">
        <f t="shared" si="107"/>
        <v>0</v>
      </c>
      <c r="AM99" s="120">
        <f t="shared" si="108"/>
        <v>0</v>
      </c>
      <c r="AN99" s="120">
        <f t="shared" si="109"/>
        <v>0</v>
      </c>
      <c r="AO99" s="120">
        <f t="shared" si="110"/>
        <v>0</v>
      </c>
      <c r="AP99" s="120">
        <f t="shared" si="111"/>
        <v>0</v>
      </c>
      <c r="AQ99" s="120">
        <f t="shared" si="112"/>
        <v>0</v>
      </c>
      <c r="AR99" s="447"/>
      <c r="AS99" s="155"/>
      <c r="AT99" s="117"/>
      <c r="AU99" s="324"/>
      <c r="AV99" s="324"/>
      <c r="AW99" s="324"/>
      <c r="AX99" s="324"/>
      <c r="AY99" s="324"/>
      <c r="AZ99" s="324"/>
      <c r="BA99" s="324"/>
      <c r="BB99" s="324"/>
      <c r="BC99" s="324"/>
      <c r="BD99" s="324"/>
      <c r="BE99" s="324"/>
      <c r="BF99" s="324"/>
      <c r="BG99" s="324"/>
      <c r="BH99" s="324"/>
      <c r="BI99" s="324"/>
      <c r="BJ99" s="324"/>
      <c r="BK99" s="324"/>
      <c r="BL99" s="324"/>
      <c r="BM99" s="324"/>
      <c r="BN99" s="324"/>
      <c r="BO99" s="324"/>
      <c r="BP99" s="324"/>
      <c r="BQ99" s="324"/>
      <c r="BR99" s="1"/>
      <c r="BW99" s="1"/>
      <c r="BX99" s="1"/>
      <c r="BY99" s="1"/>
      <c r="BZ99" s="1"/>
    </row>
    <row r="100" spans="1:78" x14ac:dyDescent="0.15">
      <c r="A100" s="25">
        <v>12</v>
      </c>
      <c r="B100" s="84" t="str">
        <f t="shared" si="113"/>
        <v/>
      </c>
      <c r="C100" s="439">
        <f t="shared" si="81"/>
        <v>0</v>
      </c>
      <c r="D100" s="439">
        <f t="shared" si="82"/>
        <v>0</v>
      </c>
      <c r="E100" s="439">
        <f t="shared" si="83"/>
        <v>0</v>
      </c>
      <c r="F100" s="439">
        <f t="shared" si="84"/>
        <v>0</v>
      </c>
      <c r="G100" s="439">
        <f t="shared" si="85"/>
        <v>0</v>
      </c>
      <c r="H100" s="439">
        <f t="shared" si="86"/>
        <v>0</v>
      </c>
      <c r="I100" s="439">
        <f t="shared" si="87"/>
        <v>0</v>
      </c>
      <c r="J100" s="439">
        <f t="shared" si="88"/>
        <v>0</v>
      </c>
      <c r="K100" s="439">
        <f t="shared" si="89"/>
        <v>0</v>
      </c>
      <c r="L100" s="439">
        <f t="shared" si="90"/>
        <v>0</v>
      </c>
      <c r="M100" s="439">
        <f t="shared" si="91"/>
        <v>0</v>
      </c>
      <c r="N100" s="439">
        <f t="shared" si="92"/>
        <v>0</v>
      </c>
      <c r="O100" s="439">
        <f t="shared" si="93"/>
        <v>0</v>
      </c>
      <c r="P100" s="439">
        <f t="shared" si="94"/>
        <v>0</v>
      </c>
      <c r="Q100" s="439">
        <f t="shared" si="95"/>
        <v>0</v>
      </c>
      <c r="R100" s="759" t="str">
        <f t="shared" si="114"/>
        <v/>
      </c>
      <c r="S100" s="760"/>
      <c r="T100" s="766" t="str">
        <f t="shared" si="96"/>
        <v/>
      </c>
      <c r="U100" s="767"/>
      <c r="V100" s="766" t="str">
        <f t="shared" si="97"/>
        <v/>
      </c>
      <c r="W100" s="767"/>
      <c r="AB100" s="120"/>
      <c r="AC100" s="120">
        <f t="shared" si="98"/>
        <v>0</v>
      </c>
      <c r="AD100" s="120">
        <f t="shared" si="99"/>
        <v>0</v>
      </c>
      <c r="AE100" s="120">
        <f t="shared" si="100"/>
        <v>0</v>
      </c>
      <c r="AF100" s="120">
        <f t="shared" si="101"/>
        <v>0</v>
      </c>
      <c r="AG100" s="120">
        <f t="shared" si="102"/>
        <v>0</v>
      </c>
      <c r="AH100" s="120">
        <f t="shared" si="103"/>
        <v>0</v>
      </c>
      <c r="AI100" s="120">
        <f t="shared" si="104"/>
        <v>0</v>
      </c>
      <c r="AJ100" s="120">
        <f t="shared" si="105"/>
        <v>0</v>
      </c>
      <c r="AK100" s="120">
        <f t="shared" si="106"/>
        <v>0</v>
      </c>
      <c r="AL100" s="120">
        <f t="shared" si="107"/>
        <v>0</v>
      </c>
      <c r="AM100" s="120">
        <f t="shared" si="108"/>
        <v>0</v>
      </c>
      <c r="AN100" s="120">
        <f t="shared" si="109"/>
        <v>0</v>
      </c>
      <c r="AO100" s="120">
        <f t="shared" si="110"/>
        <v>0</v>
      </c>
      <c r="AP100" s="120">
        <f t="shared" si="111"/>
        <v>0</v>
      </c>
      <c r="AQ100" s="120">
        <f t="shared" si="112"/>
        <v>0</v>
      </c>
      <c r="AR100" s="447"/>
      <c r="AS100" s="155"/>
      <c r="AT100" s="117"/>
      <c r="AU100" s="324"/>
      <c r="AV100" s="324"/>
      <c r="AW100" s="324"/>
      <c r="AX100" s="324"/>
      <c r="AY100" s="324"/>
      <c r="AZ100" s="324"/>
      <c r="BA100" s="324"/>
      <c r="BB100" s="324"/>
      <c r="BC100" s="324"/>
      <c r="BD100" s="324"/>
      <c r="BE100" s="324"/>
      <c r="BF100" s="324"/>
      <c r="BG100" s="324"/>
      <c r="BH100" s="324"/>
      <c r="BI100" s="324"/>
      <c r="BJ100" s="324"/>
      <c r="BK100" s="324"/>
      <c r="BL100" s="324"/>
      <c r="BM100" s="324"/>
      <c r="BN100" s="324"/>
      <c r="BO100" s="324"/>
      <c r="BP100" s="324"/>
      <c r="BQ100" s="324"/>
      <c r="BR100" s="1"/>
      <c r="BW100" s="1"/>
      <c r="BX100" s="1"/>
      <c r="BY100" s="1"/>
      <c r="BZ100" s="1"/>
    </row>
    <row r="101" spans="1:78" x14ac:dyDescent="0.15">
      <c r="A101" s="25">
        <v>13</v>
      </c>
      <c r="B101" s="84" t="str">
        <f t="shared" si="113"/>
        <v/>
      </c>
      <c r="C101" s="439">
        <f t="shared" si="81"/>
        <v>0</v>
      </c>
      <c r="D101" s="439">
        <f t="shared" si="82"/>
        <v>0</v>
      </c>
      <c r="E101" s="439">
        <f t="shared" si="83"/>
        <v>0</v>
      </c>
      <c r="F101" s="439">
        <f t="shared" si="84"/>
        <v>0</v>
      </c>
      <c r="G101" s="439">
        <f t="shared" si="85"/>
        <v>0</v>
      </c>
      <c r="H101" s="439">
        <f t="shared" si="86"/>
        <v>0</v>
      </c>
      <c r="I101" s="439">
        <f t="shared" si="87"/>
        <v>0</v>
      </c>
      <c r="J101" s="439">
        <f t="shared" si="88"/>
        <v>0</v>
      </c>
      <c r="K101" s="439">
        <f t="shared" si="89"/>
        <v>0</v>
      </c>
      <c r="L101" s="439">
        <f t="shared" si="90"/>
        <v>0</v>
      </c>
      <c r="M101" s="439">
        <f t="shared" si="91"/>
        <v>0</v>
      </c>
      <c r="N101" s="439">
        <f t="shared" si="92"/>
        <v>0</v>
      </c>
      <c r="O101" s="439">
        <f t="shared" si="93"/>
        <v>0</v>
      </c>
      <c r="P101" s="439">
        <f t="shared" si="94"/>
        <v>0</v>
      </c>
      <c r="Q101" s="439">
        <f t="shared" si="95"/>
        <v>0</v>
      </c>
      <c r="R101" s="759" t="str">
        <f t="shared" si="114"/>
        <v/>
      </c>
      <c r="S101" s="760"/>
      <c r="T101" s="766" t="str">
        <f t="shared" si="96"/>
        <v/>
      </c>
      <c r="U101" s="767"/>
      <c r="V101" s="766" t="str">
        <f t="shared" si="97"/>
        <v/>
      </c>
      <c r="W101" s="767"/>
      <c r="AB101" s="120"/>
      <c r="AC101" s="120">
        <f t="shared" si="98"/>
        <v>0</v>
      </c>
      <c r="AD101" s="120">
        <f t="shared" si="99"/>
        <v>0</v>
      </c>
      <c r="AE101" s="120">
        <f t="shared" si="100"/>
        <v>0</v>
      </c>
      <c r="AF101" s="120">
        <f t="shared" si="101"/>
        <v>0</v>
      </c>
      <c r="AG101" s="120">
        <f t="shared" si="102"/>
        <v>0</v>
      </c>
      <c r="AH101" s="120">
        <f t="shared" si="103"/>
        <v>0</v>
      </c>
      <c r="AI101" s="120">
        <f t="shared" si="104"/>
        <v>0</v>
      </c>
      <c r="AJ101" s="120">
        <f t="shared" si="105"/>
        <v>0</v>
      </c>
      <c r="AK101" s="120">
        <f t="shared" si="106"/>
        <v>0</v>
      </c>
      <c r="AL101" s="120">
        <f t="shared" si="107"/>
        <v>0</v>
      </c>
      <c r="AM101" s="120">
        <f t="shared" si="108"/>
        <v>0</v>
      </c>
      <c r="AN101" s="120">
        <f t="shared" si="109"/>
        <v>0</v>
      </c>
      <c r="AO101" s="120">
        <f t="shared" si="110"/>
        <v>0</v>
      </c>
      <c r="AP101" s="120">
        <f t="shared" si="111"/>
        <v>0</v>
      </c>
      <c r="AQ101" s="120">
        <f t="shared" si="112"/>
        <v>0</v>
      </c>
      <c r="AR101" s="447"/>
      <c r="AS101" s="155"/>
      <c r="AT101" s="117"/>
      <c r="AU101" s="324"/>
      <c r="AV101" s="324"/>
      <c r="AW101" s="324"/>
      <c r="AX101" s="324"/>
      <c r="AY101" s="324"/>
      <c r="AZ101" s="324"/>
      <c r="BA101" s="324"/>
      <c r="BB101" s="324"/>
      <c r="BC101" s="324"/>
      <c r="BD101" s="324"/>
      <c r="BE101" s="324"/>
      <c r="BF101" s="324"/>
      <c r="BG101" s="324"/>
      <c r="BH101" s="324"/>
      <c r="BI101" s="324"/>
      <c r="BJ101" s="324"/>
      <c r="BK101" s="324"/>
      <c r="BL101" s="324"/>
      <c r="BM101" s="324"/>
      <c r="BN101" s="324"/>
      <c r="BO101" s="324"/>
      <c r="BP101" s="324"/>
      <c r="BQ101" s="324"/>
      <c r="BR101" s="1"/>
      <c r="BW101" s="1"/>
      <c r="BX101" s="1"/>
      <c r="BY101" s="1"/>
      <c r="BZ101" s="1"/>
    </row>
    <row r="102" spans="1:78" x14ac:dyDescent="0.15">
      <c r="A102" s="25">
        <v>14</v>
      </c>
      <c r="B102" s="84" t="str">
        <f t="shared" si="113"/>
        <v/>
      </c>
      <c r="C102" s="439">
        <f t="shared" si="81"/>
        <v>0</v>
      </c>
      <c r="D102" s="439">
        <f t="shared" si="82"/>
        <v>0</v>
      </c>
      <c r="E102" s="439">
        <f t="shared" si="83"/>
        <v>0</v>
      </c>
      <c r="F102" s="439">
        <f t="shared" si="84"/>
        <v>0</v>
      </c>
      <c r="G102" s="439">
        <f t="shared" si="85"/>
        <v>0</v>
      </c>
      <c r="H102" s="439">
        <f t="shared" si="86"/>
        <v>0</v>
      </c>
      <c r="I102" s="439">
        <f t="shared" si="87"/>
        <v>0</v>
      </c>
      <c r="J102" s="439">
        <f t="shared" si="88"/>
        <v>0</v>
      </c>
      <c r="K102" s="439">
        <f t="shared" si="89"/>
        <v>0</v>
      </c>
      <c r="L102" s="439">
        <f t="shared" si="90"/>
        <v>0</v>
      </c>
      <c r="M102" s="439">
        <f t="shared" si="91"/>
        <v>0</v>
      </c>
      <c r="N102" s="439">
        <f t="shared" si="92"/>
        <v>0</v>
      </c>
      <c r="O102" s="439">
        <f t="shared" si="93"/>
        <v>0</v>
      </c>
      <c r="P102" s="439">
        <f t="shared" si="94"/>
        <v>0</v>
      </c>
      <c r="Q102" s="439">
        <f t="shared" si="95"/>
        <v>0</v>
      </c>
      <c r="R102" s="759" t="str">
        <f t="shared" si="114"/>
        <v/>
      </c>
      <c r="S102" s="760"/>
      <c r="T102" s="766" t="str">
        <f t="shared" si="96"/>
        <v/>
      </c>
      <c r="U102" s="767"/>
      <c r="V102" s="766" t="str">
        <f t="shared" si="97"/>
        <v/>
      </c>
      <c r="W102" s="767"/>
      <c r="AB102" s="120"/>
      <c r="AC102" s="120">
        <f t="shared" si="98"/>
        <v>0</v>
      </c>
      <c r="AD102" s="120">
        <f t="shared" si="99"/>
        <v>0</v>
      </c>
      <c r="AE102" s="120">
        <f t="shared" si="100"/>
        <v>0</v>
      </c>
      <c r="AF102" s="120">
        <f t="shared" si="101"/>
        <v>0</v>
      </c>
      <c r="AG102" s="120">
        <f t="shared" si="102"/>
        <v>0</v>
      </c>
      <c r="AH102" s="120">
        <f t="shared" si="103"/>
        <v>0</v>
      </c>
      <c r="AI102" s="120">
        <f t="shared" si="104"/>
        <v>0</v>
      </c>
      <c r="AJ102" s="120">
        <f t="shared" si="105"/>
        <v>0</v>
      </c>
      <c r="AK102" s="120">
        <f t="shared" si="106"/>
        <v>0</v>
      </c>
      <c r="AL102" s="120">
        <f t="shared" si="107"/>
        <v>0</v>
      </c>
      <c r="AM102" s="120">
        <f t="shared" si="108"/>
        <v>0</v>
      </c>
      <c r="AN102" s="120">
        <f t="shared" si="109"/>
        <v>0</v>
      </c>
      <c r="AO102" s="120">
        <f t="shared" si="110"/>
        <v>0</v>
      </c>
      <c r="AP102" s="120">
        <f t="shared" si="111"/>
        <v>0</v>
      </c>
      <c r="AQ102" s="120">
        <f t="shared" si="112"/>
        <v>0</v>
      </c>
      <c r="AR102" s="447"/>
      <c r="AS102" s="155"/>
      <c r="AT102" s="117"/>
      <c r="AU102" s="324"/>
      <c r="AV102" s="324"/>
      <c r="AW102" s="324"/>
      <c r="AX102" s="324"/>
      <c r="AY102" s="324"/>
      <c r="AZ102" s="324"/>
      <c r="BA102" s="324"/>
      <c r="BB102" s="324"/>
      <c r="BC102" s="324"/>
      <c r="BD102" s="324"/>
      <c r="BE102" s="324"/>
      <c r="BF102" s="324"/>
      <c r="BG102" s="324"/>
      <c r="BH102" s="324"/>
      <c r="BI102" s="324"/>
      <c r="BJ102" s="324"/>
      <c r="BK102" s="324"/>
      <c r="BL102" s="324"/>
      <c r="BM102" s="324"/>
      <c r="BN102" s="324"/>
      <c r="BO102" s="324"/>
      <c r="BP102" s="324"/>
      <c r="BQ102" s="324"/>
      <c r="BR102" s="1"/>
      <c r="BW102" s="1"/>
      <c r="BX102" s="1"/>
      <c r="BY102" s="1"/>
      <c r="BZ102" s="1"/>
    </row>
    <row r="103" spans="1:78" ht="14" thickBot="1" x14ac:dyDescent="0.2">
      <c r="A103" s="26">
        <v>15</v>
      </c>
      <c r="B103" s="86" t="str">
        <f t="shared" si="113"/>
        <v/>
      </c>
      <c r="C103" s="368">
        <f t="shared" si="81"/>
        <v>0</v>
      </c>
      <c r="D103" s="368">
        <f t="shared" si="82"/>
        <v>0</v>
      </c>
      <c r="E103" s="368">
        <f t="shared" si="83"/>
        <v>0</v>
      </c>
      <c r="F103" s="368">
        <f t="shared" si="84"/>
        <v>0</v>
      </c>
      <c r="G103" s="368">
        <f t="shared" si="85"/>
        <v>0</v>
      </c>
      <c r="H103" s="368">
        <f t="shared" si="86"/>
        <v>0</v>
      </c>
      <c r="I103" s="368">
        <f t="shared" si="87"/>
        <v>0</v>
      </c>
      <c r="J103" s="368">
        <f t="shared" si="88"/>
        <v>0</v>
      </c>
      <c r="K103" s="368">
        <f t="shared" si="89"/>
        <v>0</v>
      </c>
      <c r="L103" s="368">
        <f t="shared" si="90"/>
        <v>0</v>
      </c>
      <c r="M103" s="368">
        <f t="shared" si="91"/>
        <v>0</v>
      </c>
      <c r="N103" s="368">
        <f t="shared" si="92"/>
        <v>0</v>
      </c>
      <c r="O103" s="368">
        <f t="shared" si="93"/>
        <v>0</v>
      </c>
      <c r="P103" s="368">
        <f t="shared" si="94"/>
        <v>0</v>
      </c>
      <c r="Q103" s="368">
        <f t="shared" si="95"/>
        <v>0</v>
      </c>
      <c r="R103" s="768" t="str">
        <f t="shared" si="114"/>
        <v/>
      </c>
      <c r="S103" s="769"/>
      <c r="T103" s="770" t="str">
        <f t="shared" si="96"/>
        <v/>
      </c>
      <c r="U103" s="771"/>
      <c r="V103" s="770" t="str">
        <f t="shared" si="97"/>
        <v/>
      </c>
      <c r="W103" s="771"/>
      <c r="AB103" s="120"/>
      <c r="AC103" s="120">
        <f t="shared" si="98"/>
        <v>0</v>
      </c>
      <c r="AD103" s="120">
        <f t="shared" si="99"/>
        <v>0</v>
      </c>
      <c r="AE103" s="120">
        <f t="shared" si="100"/>
        <v>0</v>
      </c>
      <c r="AF103" s="120">
        <f t="shared" si="101"/>
        <v>0</v>
      </c>
      <c r="AG103" s="120">
        <f t="shared" si="102"/>
        <v>0</v>
      </c>
      <c r="AH103" s="120">
        <f t="shared" si="103"/>
        <v>0</v>
      </c>
      <c r="AI103" s="120">
        <f t="shared" si="104"/>
        <v>0</v>
      </c>
      <c r="AJ103" s="120">
        <f t="shared" si="105"/>
        <v>0</v>
      </c>
      <c r="AK103" s="120">
        <f t="shared" si="106"/>
        <v>0</v>
      </c>
      <c r="AL103" s="120">
        <f t="shared" si="107"/>
        <v>0</v>
      </c>
      <c r="AM103" s="120">
        <f t="shared" si="108"/>
        <v>0</v>
      </c>
      <c r="AN103" s="120">
        <f t="shared" si="109"/>
        <v>0</v>
      </c>
      <c r="AO103" s="120">
        <f t="shared" si="110"/>
        <v>0</v>
      </c>
      <c r="AP103" s="120">
        <f t="shared" si="111"/>
        <v>0</v>
      </c>
      <c r="AQ103" s="120">
        <f t="shared" si="112"/>
        <v>0</v>
      </c>
      <c r="AR103" s="447"/>
      <c r="AS103" s="155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  <c r="BG103" s="117"/>
      <c r="BH103" s="117"/>
      <c r="BI103" s="117"/>
      <c r="BJ103" s="117"/>
      <c r="BK103" s="117"/>
      <c r="BL103" s="117"/>
      <c r="BM103" s="117"/>
      <c r="BN103" s="117"/>
      <c r="BO103" s="117"/>
      <c r="BP103" s="117"/>
      <c r="BQ103" s="117"/>
      <c r="BR103" s="1"/>
      <c r="BW103" s="1"/>
      <c r="BX103" s="1"/>
      <c r="BY103" s="1"/>
      <c r="BZ103" s="1"/>
    </row>
    <row r="104" spans="1:78" x14ac:dyDescent="0.15">
      <c r="A104" s="94"/>
      <c r="B104" s="257" t="s">
        <v>256</v>
      </c>
      <c r="C104" s="439">
        <f>C166</f>
        <v>0</v>
      </c>
      <c r="D104" s="439">
        <f t="shared" ref="D104:Q104" si="115">D166</f>
        <v>0</v>
      </c>
      <c r="E104" s="439">
        <f t="shared" si="115"/>
        <v>0</v>
      </c>
      <c r="F104" s="439">
        <f t="shared" si="115"/>
        <v>0</v>
      </c>
      <c r="G104" s="439">
        <f t="shared" si="115"/>
        <v>0</v>
      </c>
      <c r="H104" s="439">
        <f t="shared" si="115"/>
        <v>0</v>
      </c>
      <c r="I104" s="439">
        <f t="shared" si="115"/>
        <v>0</v>
      </c>
      <c r="J104" s="439">
        <f t="shared" si="115"/>
        <v>0</v>
      </c>
      <c r="K104" s="439">
        <f t="shared" si="115"/>
        <v>0</v>
      </c>
      <c r="L104" s="439">
        <f t="shared" si="115"/>
        <v>0</v>
      </c>
      <c r="M104" s="439">
        <f t="shared" si="115"/>
        <v>0</v>
      </c>
      <c r="N104" s="439">
        <f t="shared" si="115"/>
        <v>0</v>
      </c>
      <c r="O104" s="439">
        <f t="shared" si="115"/>
        <v>0</v>
      </c>
      <c r="P104" s="439">
        <f t="shared" si="115"/>
        <v>0</v>
      </c>
      <c r="Q104" s="439">
        <f t="shared" si="115"/>
        <v>0</v>
      </c>
      <c r="R104" s="778">
        <f>SUM(R89:S103)</f>
        <v>0</v>
      </c>
      <c r="S104" s="779"/>
      <c r="T104" s="772">
        <f>SUM(T89:U103)</f>
        <v>0</v>
      </c>
      <c r="U104" s="773"/>
      <c r="V104" s="772">
        <f>SUM(V89:W103)</f>
        <v>0</v>
      </c>
      <c r="W104" s="773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266"/>
      <c r="AP104" s="122"/>
      <c r="AQ104" s="122"/>
      <c r="AR104" s="447"/>
      <c r="AS104" s="155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"/>
      <c r="BW104" s="1"/>
      <c r="BX104" s="1"/>
      <c r="BY104" s="1"/>
      <c r="BZ104" s="1"/>
    </row>
    <row r="105" spans="1:78" x14ac:dyDescent="0.15">
      <c r="B105" s="89" t="s">
        <v>257</v>
      </c>
      <c r="C105" s="189">
        <f t="shared" ref="C105:Q105" si="116">SUM(C89:C103)</f>
        <v>0</v>
      </c>
      <c r="D105" s="189">
        <f t="shared" si="116"/>
        <v>0</v>
      </c>
      <c r="E105" s="189">
        <f t="shared" si="116"/>
        <v>0</v>
      </c>
      <c r="F105" s="189">
        <f t="shared" si="116"/>
        <v>0</v>
      </c>
      <c r="G105" s="189">
        <f t="shared" si="116"/>
        <v>0</v>
      </c>
      <c r="H105" s="189">
        <f t="shared" si="116"/>
        <v>0</v>
      </c>
      <c r="I105" s="189">
        <f t="shared" si="116"/>
        <v>0</v>
      </c>
      <c r="J105" s="189">
        <f t="shared" si="116"/>
        <v>0</v>
      </c>
      <c r="K105" s="189">
        <f t="shared" si="116"/>
        <v>0</v>
      </c>
      <c r="L105" s="189">
        <f t="shared" si="116"/>
        <v>0</v>
      </c>
      <c r="M105" s="189">
        <f t="shared" si="116"/>
        <v>0</v>
      </c>
      <c r="N105" s="189">
        <f t="shared" si="116"/>
        <v>0</v>
      </c>
      <c r="O105" s="189">
        <f t="shared" si="116"/>
        <v>0</v>
      </c>
      <c r="P105" s="189">
        <f t="shared" si="116"/>
        <v>0</v>
      </c>
      <c r="Q105" s="189">
        <f t="shared" si="116"/>
        <v>0</v>
      </c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266"/>
      <c r="AP105" s="122"/>
      <c r="AQ105" s="122"/>
      <c r="AR105" s="447"/>
      <c r="AS105" s="155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H105" s="117"/>
      <c r="BI105" s="117"/>
      <c r="BJ105" s="117"/>
      <c r="BK105" s="117"/>
      <c r="BL105" s="117"/>
      <c r="BM105" s="117"/>
      <c r="BN105" s="117"/>
      <c r="BO105" s="117"/>
      <c r="BP105" s="117"/>
      <c r="BQ105" s="117"/>
      <c r="BR105" s="1"/>
      <c r="BW105" s="1"/>
      <c r="BX105" s="1"/>
      <c r="BY105" s="1"/>
      <c r="BZ105" s="1"/>
    </row>
    <row r="106" spans="1:78" x14ac:dyDescent="0.15">
      <c r="B106" s="36" t="s">
        <v>408</v>
      </c>
      <c r="C106" s="442">
        <f>IF($R104=0,0,C105/$R104*$AB92)</f>
        <v>0</v>
      </c>
      <c r="D106" s="442">
        <f>IF($R104=0,0,D105/$R104*$AB92)</f>
        <v>0</v>
      </c>
      <c r="E106" s="442">
        <f t="shared" ref="E106:Q106" si="117">IF($R104=0,0,E105/$R104*$AB92)</f>
        <v>0</v>
      </c>
      <c r="F106" s="442">
        <f t="shared" si="117"/>
        <v>0</v>
      </c>
      <c r="G106" s="442">
        <f t="shared" si="117"/>
        <v>0</v>
      </c>
      <c r="H106" s="442">
        <f t="shared" si="117"/>
        <v>0</v>
      </c>
      <c r="I106" s="442">
        <f t="shared" si="117"/>
        <v>0</v>
      </c>
      <c r="J106" s="442">
        <f t="shared" si="117"/>
        <v>0</v>
      </c>
      <c r="K106" s="442">
        <f t="shared" si="117"/>
        <v>0</v>
      </c>
      <c r="L106" s="442">
        <f t="shared" si="117"/>
        <v>0</v>
      </c>
      <c r="M106" s="442">
        <f t="shared" si="117"/>
        <v>0</v>
      </c>
      <c r="N106" s="442">
        <f t="shared" si="117"/>
        <v>0</v>
      </c>
      <c r="O106" s="442">
        <f t="shared" si="117"/>
        <v>0</v>
      </c>
      <c r="P106" s="442">
        <f t="shared" si="117"/>
        <v>0</v>
      </c>
      <c r="Q106" s="442">
        <f t="shared" si="117"/>
        <v>0</v>
      </c>
      <c r="AB106" s="120"/>
      <c r="AC106" s="338">
        <f>C108-C106</f>
        <v>0</v>
      </c>
      <c r="AD106" s="338">
        <f t="shared" ref="AD106:AQ106" si="118">D108-D106</f>
        <v>0</v>
      </c>
      <c r="AE106" s="338">
        <f>E108-E106</f>
        <v>0</v>
      </c>
      <c r="AF106" s="338">
        <f>F108-F106</f>
        <v>0</v>
      </c>
      <c r="AG106" s="338">
        <f t="shared" si="118"/>
        <v>0</v>
      </c>
      <c r="AH106" s="338">
        <f t="shared" si="118"/>
        <v>0</v>
      </c>
      <c r="AI106" s="338">
        <f t="shared" si="118"/>
        <v>0</v>
      </c>
      <c r="AJ106" s="338">
        <f t="shared" si="118"/>
        <v>0</v>
      </c>
      <c r="AK106" s="338">
        <f t="shared" si="118"/>
        <v>0</v>
      </c>
      <c r="AL106" s="338">
        <f t="shared" si="118"/>
        <v>0</v>
      </c>
      <c r="AM106" s="338">
        <f t="shared" si="118"/>
        <v>0</v>
      </c>
      <c r="AN106" s="338">
        <f t="shared" si="118"/>
        <v>0</v>
      </c>
      <c r="AO106" s="338">
        <f t="shared" si="118"/>
        <v>0</v>
      </c>
      <c r="AP106" s="338">
        <f t="shared" si="118"/>
        <v>0</v>
      </c>
      <c r="AQ106" s="338">
        <f t="shared" si="118"/>
        <v>0</v>
      </c>
      <c r="AR106" s="448"/>
      <c r="AS106" s="156"/>
      <c r="AT106" s="156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"/>
      <c r="BW106" s="1"/>
      <c r="BX106" s="1"/>
      <c r="BY106" s="1"/>
      <c r="BZ106" s="1"/>
    </row>
    <row r="107" spans="1:78" x14ac:dyDescent="0.15">
      <c r="B107" s="89" t="s">
        <v>258</v>
      </c>
      <c r="C107" s="189">
        <f>IF(C104=0,C105,MAX(C89:C103))</f>
        <v>0</v>
      </c>
      <c r="D107" s="189">
        <f t="shared" ref="D107:Q107" si="119">IF(D104=0,D105,MAX(D89:D103))</f>
        <v>0</v>
      </c>
      <c r="E107" s="189">
        <f t="shared" si="119"/>
        <v>0</v>
      </c>
      <c r="F107" s="189">
        <f t="shared" si="119"/>
        <v>0</v>
      </c>
      <c r="G107" s="189">
        <f t="shared" si="119"/>
        <v>0</v>
      </c>
      <c r="H107" s="189">
        <f t="shared" si="119"/>
        <v>0</v>
      </c>
      <c r="I107" s="189">
        <f t="shared" si="119"/>
        <v>0</v>
      </c>
      <c r="J107" s="189">
        <f t="shared" si="119"/>
        <v>0</v>
      </c>
      <c r="K107" s="189">
        <f t="shared" si="119"/>
        <v>0</v>
      </c>
      <c r="L107" s="189">
        <f t="shared" si="119"/>
        <v>0</v>
      </c>
      <c r="M107" s="189">
        <f t="shared" si="119"/>
        <v>0</v>
      </c>
      <c r="N107" s="189">
        <f t="shared" si="119"/>
        <v>0</v>
      </c>
      <c r="O107" s="189">
        <f t="shared" si="119"/>
        <v>0</v>
      </c>
      <c r="P107" s="189">
        <f t="shared" si="119"/>
        <v>0</v>
      </c>
      <c r="Q107" s="189">
        <f t="shared" si="119"/>
        <v>0</v>
      </c>
      <c r="R107" s="774">
        <f>SUM(C107:Q107)</f>
        <v>0</v>
      </c>
      <c r="S107" s="775"/>
      <c r="T107" s="776">
        <f>R107*12</f>
        <v>0</v>
      </c>
      <c r="U107" s="777"/>
      <c r="V107" s="1" t="s">
        <v>397</v>
      </c>
      <c r="AB107" s="120"/>
      <c r="AC107" s="120">
        <v>1</v>
      </c>
      <c r="AD107" s="120">
        <v>2</v>
      </c>
      <c r="AE107" s="120">
        <v>3</v>
      </c>
      <c r="AF107" s="120">
        <v>4</v>
      </c>
      <c r="AG107" s="120">
        <v>5</v>
      </c>
      <c r="AH107" s="120">
        <v>6</v>
      </c>
      <c r="AI107" s="120">
        <v>7</v>
      </c>
      <c r="AJ107" s="120">
        <v>8</v>
      </c>
      <c r="AK107" s="120">
        <v>9</v>
      </c>
      <c r="AL107" s="120">
        <v>10</v>
      </c>
      <c r="AM107" s="120">
        <v>11</v>
      </c>
      <c r="AN107" s="120">
        <v>12</v>
      </c>
      <c r="AO107" s="120">
        <v>13</v>
      </c>
      <c r="AP107" s="120">
        <v>14</v>
      </c>
      <c r="AQ107" s="120">
        <v>15</v>
      </c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H107" s="117"/>
      <c r="BI107" s="117"/>
      <c r="BJ107" s="117"/>
      <c r="BK107" s="117"/>
      <c r="BL107" s="117"/>
      <c r="BM107" s="117"/>
      <c r="BN107" s="117"/>
      <c r="BO107" s="117"/>
      <c r="BP107" s="117"/>
      <c r="BQ107" s="117"/>
      <c r="BR107" s="1"/>
      <c r="BW107" s="1"/>
      <c r="BX107" s="1"/>
      <c r="BY107" s="1"/>
      <c r="BZ107" s="1"/>
    </row>
    <row r="108" spans="1:78" x14ac:dyDescent="0.15">
      <c r="B108" s="36" t="s">
        <v>409</v>
      </c>
      <c r="C108" s="442">
        <f>IF($R107=0,0,C107/$R107*$AB96)</f>
        <v>0</v>
      </c>
      <c r="D108" s="442">
        <f t="shared" ref="D108:Q108" si="120">IF($R107=0,0,D107/$R107*$AB96)</f>
        <v>0</v>
      </c>
      <c r="E108" s="442">
        <f t="shared" si="120"/>
        <v>0</v>
      </c>
      <c r="F108" s="442">
        <f t="shared" si="120"/>
        <v>0</v>
      </c>
      <c r="G108" s="442">
        <f t="shared" si="120"/>
        <v>0</v>
      </c>
      <c r="H108" s="442">
        <f t="shared" si="120"/>
        <v>0</v>
      </c>
      <c r="I108" s="442">
        <f t="shared" si="120"/>
        <v>0</v>
      </c>
      <c r="J108" s="442">
        <f t="shared" si="120"/>
        <v>0</v>
      </c>
      <c r="K108" s="442">
        <f t="shared" si="120"/>
        <v>0</v>
      </c>
      <c r="L108" s="442">
        <f t="shared" si="120"/>
        <v>0</v>
      </c>
      <c r="M108" s="442">
        <f t="shared" si="120"/>
        <v>0</v>
      </c>
      <c r="N108" s="442">
        <f t="shared" si="120"/>
        <v>0</v>
      </c>
      <c r="O108" s="442">
        <f t="shared" si="120"/>
        <v>0</v>
      </c>
      <c r="P108" s="442">
        <f t="shared" si="120"/>
        <v>0</v>
      </c>
      <c r="Q108" s="442">
        <f t="shared" si="120"/>
        <v>0</v>
      </c>
      <c r="T108" s="782" t="str">
        <f>IF(T104=0,"",T107/T104)</f>
        <v/>
      </c>
      <c r="U108" s="783"/>
      <c r="V108" s="1" t="s">
        <v>398</v>
      </c>
      <c r="AB108" s="120"/>
      <c r="AC108" s="120" t="str">
        <f>IF((C105-C107)=0,"S","C")</f>
        <v>S</v>
      </c>
      <c r="AD108" s="120" t="str">
        <f t="shared" ref="AD108:AQ108" si="121">IF((D105-D107)=0,"S","C")</f>
        <v>S</v>
      </c>
      <c r="AE108" s="120" t="str">
        <f t="shared" si="121"/>
        <v>S</v>
      </c>
      <c r="AF108" s="120" t="str">
        <f t="shared" si="121"/>
        <v>S</v>
      </c>
      <c r="AG108" s="120" t="str">
        <f t="shared" si="121"/>
        <v>S</v>
      </c>
      <c r="AH108" s="120" t="str">
        <f t="shared" si="121"/>
        <v>S</v>
      </c>
      <c r="AI108" s="120" t="str">
        <f t="shared" si="121"/>
        <v>S</v>
      </c>
      <c r="AJ108" s="120" t="str">
        <f t="shared" si="121"/>
        <v>S</v>
      </c>
      <c r="AK108" s="120" t="str">
        <f t="shared" si="121"/>
        <v>S</v>
      </c>
      <c r="AL108" s="120" t="str">
        <f t="shared" si="121"/>
        <v>S</v>
      </c>
      <c r="AM108" s="120" t="str">
        <f t="shared" si="121"/>
        <v>S</v>
      </c>
      <c r="AN108" s="120" t="str">
        <f t="shared" si="121"/>
        <v>S</v>
      </c>
      <c r="AO108" s="120" t="str">
        <f t="shared" si="121"/>
        <v>S</v>
      </c>
      <c r="AP108" s="120" t="str">
        <f t="shared" si="121"/>
        <v>S</v>
      </c>
      <c r="AQ108" s="120" t="str">
        <f t="shared" si="121"/>
        <v>S</v>
      </c>
      <c r="AR108" s="447"/>
      <c r="AS108" s="155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H108" s="117"/>
      <c r="BI108" s="117"/>
      <c r="BJ108" s="117"/>
      <c r="BK108" s="117"/>
      <c r="BL108" s="117"/>
      <c r="BM108" s="117"/>
      <c r="BN108" s="117"/>
      <c r="BO108" s="117"/>
      <c r="BP108" s="117"/>
      <c r="BQ108" s="117"/>
      <c r="BR108" s="1"/>
      <c r="BW108" s="1"/>
      <c r="BX108" s="1"/>
      <c r="BY108" s="1"/>
      <c r="BZ108" s="1"/>
    </row>
    <row r="109" spans="1:78" x14ac:dyDescent="0.15">
      <c r="B109" s="443"/>
      <c r="C109" s="444"/>
      <c r="D109" s="444"/>
      <c r="E109" s="444"/>
      <c r="F109" s="444"/>
      <c r="G109" s="444"/>
      <c r="H109" s="444"/>
      <c r="I109" s="444"/>
      <c r="J109" s="444"/>
      <c r="K109" s="444"/>
      <c r="L109" s="444"/>
      <c r="M109" s="444"/>
      <c r="N109" s="444"/>
      <c r="O109" s="444"/>
      <c r="P109" s="444"/>
      <c r="Q109" s="444"/>
      <c r="R109" s="444"/>
      <c r="S109" s="444"/>
      <c r="T109" s="444"/>
      <c r="U109" s="444"/>
      <c r="V109" s="444"/>
      <c r="W109" s="444"/>
      <c r="X109" s="444"/>
      <c r="Y109" s="444"/>
      <c r="Z109" s="444"/>
      <c r="AE109" s="789"/>
      <c r="AF109" s="789"/>
      <c r="AG109" s="789"/>
      <c r="AO109" s="478"/>
      <c r="AP109" s="447"/>
      <c r="AQ109" s="447"/>
      <c r="AR109" s="447"/>
      <c r="AS109" s="155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  <c r="BH109" s="117"/>
      <c r="BI109" s="117"/>
      <c r="BJ109" s="117"/>
      <c r="BK109" s="117"/>
      <c r="BL109" s="117"/>
      <c r="BM109" s="117"/>
      <c r="BN109" s="117"/>
      <c r="BO109" s="117"/>
      <c r="BP109" s="117"/>
      <c r="BQ109" s="117"/>
      <c r="BR109" s="1"/>
      <c r="BW109" s="1"/>
      <c r="BX109" s="1"/>
      <c r="BY109" s="1"/>
      <c r="BZ109" s="1"/>
    </row>
    <row r="110" spans="1:78" x14ac:dyDescent="0.15">
      <c r="B110" s="36"/>
      <c r="R110" s="441"/>
      <c r="S110" s="441"/>
      <c r="Y110" s="718" t="s">
        <v>504</v>
      </c>
      <c r="AO110" s="478"/>
      <c r="AP110" s="447"/>
      <c r="AQ110" s="447"/>
      <c r="AR110" s="447"/>
      <c r="AS110" s="155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  <c r="BH110" s="117"/>
      <c r="BI110" s="117"/>
      <c r="BJ110" s="117"/>
      <c r="BK110" s="117"/>
      <c r="BL110" s="117"/>
      <c r="BM110" s="117"/>
      <c r="BN110" s="117"/>
      <c r="BO110" s="117"/>
      <c r="BP110" s="117"/>
      <c r="BQ110" s="117"/>
      <c r="BR110" s="1"/>
      <c r="BW110" s="1"/>
      <c r="BX110" s="1"/>
      <c r="BY110" s="1"/>
      <c r="BZ110" s="1"/>
    </row>
    <row r="111" spans="1:78" ht="20" x14ac:dyDescent="0.2">
      <c r="A111" s="76" t="s">
        <v>259</v>
      </c>
      <c r="L111" s="264"/>
      <c r="Y111" s="714" t="str">
        <f>MID([1]Persona!$D$12,1,25)</f>
        <v/>
      </c>
      <c r="AA111" s="116"/>
      <c r="AB111" s="120"/>
      <c r="AC111" s="120"/>
      <c r="AD111" s="120"/>
      <c r="AE111" s="120"/>
      <c r="AF111" s="268"/>
      <c r="AG111" s="268"/>
      <c r="AH111" s="268"/>
      <c r="AI111" s="268"/>
      <c r="AJ111" s="275"/>
      <c r="AK111" s="268"/>
      <c r="AL111" s="268"/>
      <c r="AM111" s="268"/>
      <c r="AN111" s="268"/>
      <c r="AO111" s="268"/>
      <c r="AP111" s="268"/>
      <c r="AQ111" s="268"/>
      <c r="AR111" s="268"/>
      <c r="AS111" s="268"/>
      <c r="AT111" s="268"/>
      <c r="AU111" s="268"/>
      <c r="AV111" s="117"/>
      <c r="AW111" s="268"/>
      <c r="AX111" s="268"/>
      <c r="AY111" s="268"/>
      <c r="AZ111" s="268"/>
      <c r="BA111" s="268"/>
      <c r="BB111" s="117"/>
      <c r="BC111" s="117"/>
      <c r="BD111" s="117"/>
      <c r="BE111" s="117"/>
      <c r="BF111" s="117"/>
      <c r="BG111" s="117"/>
      <c r="BH111" s="117"/>
      <c r="BI111" s="117"/>
      <c r="BJ111" s="117"/>
      <c r="BK111" s="117"/>
      <c r="BL111" s="117"/>
      <c r="BM111" s="117"/>
      <c r="BN111" s="117"/>
      <c r="BO111" s="117"/>
      <c r="BP111" s="117"/>
      <c r="BQ111" s="117"/>
      <c r="BR111" s="1"/>
      <c r="BW111" s="1"/>
      <c r="BX111" s="1"/>
      <c r="BY111" s="1"/>
      <c r="BZ111" s="1"/>
    </row>
    <row r="112" spans="1:78" x14ac:dyDescent="0.1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83"/>
      <c r="P112" s="483"/>
      <c r="Q112" s="46"/>
      <c r="R112" s="46"/>
      <c r="S112" s="46"/>
      <c r="T112" s="46"/>
      <c r="U112" s="46"/>
      <c r="V112" s="46"/>
      <c r="W112" s="46"/>
      <c r="X112" s="46"/>
      <c r="AA112" s="116"/>
      <c r="AB112" s="120"/>
      <c r="AC112" s="120"/>
      <c r="AD112" s="120"/>
      <c r="AE112" s="120"/>
      <c r="AF112" s="268"/>
      <c r="AG112" s="268"/>
      <c r="AH112" s="268"/>
      <c r="AI112" s="268"/>
      <c r="AJ112" s="275"/>
      <c r="AK112" s="268"/>
      <c r="AL112" s="268"/>
      <c r="AM112" s="268"/>
      <c r="AN112" s="268"/>
      <c r="AO112" s="268"/>
      <c r="AP112" s="268"/>
      <c r="AQ112" s="268"/>
      <c r="AR112" s="268"/>
      <c r="AS112" s="268"/>
      <c r="AT112" s="268"/>
      <c r="AU112" s="268"/>
      <c r="AV112" s="117"/>
      <c r="AW112" s="268"/>
      <c r="AX112" s="268"/>
      <c r="AY112" s="268"/>
      <c r="AZ112" s="268"/>
      <c r="BA112" s="268"/>
      <c r="BB112" s="117"/>
      <c r="BC112" s="117"/>
      <c r="BD112" s="117"/>
      <c r="BE112" s="117"/>
      <c r="BF112" s="117"/>
      <c r="BG112" s="117"/>
      <c r="BH112" s="117"/>
      <c r="BI112" s="117"/>
      <c r="BJ112" s="117"/>
      <c r="BK112" s="117"/>
      <c r="BL112" s="117"/>
      <c r="BM112" s="117"/>
      <c r="BN112" s="117"/>
      <c r="BO112" s="117"/>
      <c r="BP112" s="117"/>
      <c r="BQ112" s="117"/>
      <c r="BR112" s="1"/>
      <c r="BW112" s="1"/>
      <c r="BX112" s="1"/>
      <c r="BY112" s="1"/>
      <c r="BZ112" s="1"/>
    </row>
    <row r="113" spans="1:78" ht="51" customHeight="1" thickBot="1" x14ac:dyDescent="0.2">
      <c r="A113" s="43" t="s">
        <v>144</v>
      </c>
      <c r="B113" s="33" t="s">
        <v>145</v>
      </c>
      <c r="C113" s="422">
        <f>B65</f>
        <v>0</v>
      </c>
      <c r="D113" s="422">
        <f>B66</f>
        <v>0</v>
      </c>
      <c r="E113" s="422">
        <f>B67</f>
        <v>0</v>
      </c>
      <c r="F113" s="422">
        <f>B68</f>
        <v>0</v>
      </c>
      <c r="G113" s="422">
        <f>B69</f>
        <v>0</v>
      </c>
      <c r="H113" s="422">
        <f>B70</f>
        <v>0</v>
      </c>
      <c r="I113" s="422">
        <f>B71</f>
        <v>0</v>
      </c>
      <c r="J113" s="422">
        <f>B72</f>
        <v>0</v>
      </c>
      <c r="K113" s="422">
        <f>B73</f>
        <v>0</v>
      </c>
      <c r="L113" s="422">
        <f>B74</f>
        <v>0</v>
      </c>
      <c r="M113" s="422">
        <f>B75</f>
        <v>0</v>
      </c>
      <c r="N113" s="422">
        <f>B76</f>
        <v>0</v>
      </c>
      <c r="O113" s="422">
        <f>B77</f>
        <v>0</v>
      </c>
      <c r="P113" s="422">
        <f>B78</f>
        <v>0</v>
      </c>
      <c r="Q113" s="422">
        <f>B79</f>
        <v>0</v>
      </c>
      <c r="R113" s="110" t="s">
        <v>148</v>
      </c>
      <c r="S113" s="290"/>
      <c r="T113" s="426" t="s">
        <v>260</v>
      </c>
      <c r="U113" s="427"/>
      <c r="V113" s="428" t="s">
        <v>261</v>
      </c>
      <c r="W113" s="428"/>
      <c r="X113" s="423" t="s">
        <v>262</v>
      </c>
      <c r="AB113" s="120" t="s">
        <v>263</v>
      </c>
      <c r="AC113" s="120" t="s">
        <v>264</v>
      </c>
      <c r="AD113" s="120"/>
      <c r="AE113" s="481" t="s">
        <v>265</v>
      </c>
      <c r="AF113" s="438">
        <f>C113</f>
        <v>0</v>
      </c>
      <c r="AG113" s="438">
        <f t="shared" ref="AG113:AR113" si="122">D113</f>
        <v>0</v>
      </c>
      <c r="AH113" s="438">
        <f t="shared" si="122"/>
        <v>0</v>
      </c>
      <c r="AI113" s="438">
        <f t="shared" si="122"/>
        <v>0</v>
      </c>
      <c r="AJ113" s="438">
        <f t="shared" si="122"/>
        <v>0</v>
      </c>
      <c r="AK113" s="438">
        <f t="shared" si="122"/>
        <v>0</v>
      </c>
      <c r="AL113" s="438">
        <f t="shared" si="122"/>
        <v>0</v>
      </c>
      <c r="AM113" s="438">
        <f t="shared" si="122"/>
        <v>0</v>
      </c>
      <c r="AN113" s="438">
        <f t="shared" si="122"/>
        <v>0</v>
      </c>
      <c r="AO113" s="438">
        <f t="shared" si="122"/>
        <v>0</v>
      </c>
      <c r="AP113" s="438">
        <f t="shared" si="122"/>
        <v>0</v>
      </c>
      <c r="AQ113" s="438">
        <f t="shared" si="122"/>
        <v>0</v>
      </c>
      <c r="AR113" s="438">
        <f t="shared" si="122"/>
        <v>0</v>
      </c>
      <c r="AS113" s="438">
        <f>P113</f>
        <v>0</v>
      </c>
      <c r="AT113" s="438">
        <f>Q113</f>
        <v>0</v>
      </c>
      <c r="AU113" s="268"/>
      <c r="AV113" s="117"/>
      <c r="AW113" s="481" t="s">
        <v>400</v>
      </c>
      <c r="AX113" s="481" t="s">
        <v>401</v>
      </c>
      <c r="AY113" s="481" t="s">
        <v>402</v>
      </c>
      <c r="AZ113" s="481" t="s">
        <v>403</v>
      </c>
      <c r="BA113" s="481" t="s">
        <v>404</v>
      </c>
      <c r="BB113" s="117"/>
      <c r="BC113" s="117"/>
      <c r="BD113" s="117"/>
      <c r="BE113" s="117"/>
      <c r="BF113" s="117"/>
      <c r="BG113" s="117"/>
      <c r="BH113" s="117"/>
      <c r="BI113" s="117"/>
      <c r="BJ113" s="117"/>
      <c r="BK113" s="117"/>
      <c r="BL113" s="117"/>
      <c r="BM113" s="117"/>
      <c r="BN113" s="117"/>
      <c r="BO113" s="117"/>
      <c r="BP113" s="117"/>
      <c r="BQ113" s="117"/>
      <c r="BR113" s="1"/>
      <c r="BW113" s="1"/>
      <c r="BX113" s="1"/>
      <c r="BY113" s="1"/>
      <c r="BZ113" s="1"/>
    </row>
    <row r="114" spans="1:78" x14ac:dyDescent="0.15">
      <c r="A114" s="307">
        <v>1</v>
      </c>
      <c r="B114" s="84">
        <f>B4</f>
        <v>0</v>
      </c>
      <c r="C114" s="658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424">
        <f t="shared" ref="R114:R145" si="123">SUM(C114:Q114)</f>
        <v>0</v>
      </c>
      <c r="S114" s="425"/>
      <c r="T114" s="424">
        <f>J4</f>
        <v>0</v>
      </c>
      <c r="U114" s="425"/>
      <c r="V114" s="434" t="str">
        <f>IF(B114=0,"",IF(R114=0,"NC",R114-T114))</f>
        <v/>
      </c>
      <c r="W114" s="435"/>
      <c r="X114" s="437" t="str">
        <f t="shared" ref="X114:X145" si="124">IF(B114=0,"",SUMIF(R$65:R$79,AC114,U$65:U$79))</f>
        <v/>
      </c>
      <c r="AB114" s="266">
        <f t="shared" ref="AB114:AB145" si="125">IF(R114=0,T114,R114)</f>
        <v>0</v>
      </c>
      <c r="AC114" s="120">
        <f>C4</f>
        <v>0</v>
      </c>
      <c r="AD114" s="120"/>
      <c r="AE114" s="120">
        <f>IF(B4="",0,BQ4)</f>
        <v>0</v>
      </c>
      <c r="AF114" s="268">
        <f t="shared" ref="AF114:AF145" si="126">C114*$AE114</f>
        <v>0</v>
      </c>
      <c r="AG114" s="268">
        <f t="shared" ref="AG114:AG145" si="127">D114*$AE114</f>
        <v>0</v>
      </c>
      <c r="AH114" s="268">
        <f t="shared" ref="AH114:AH145" si="128">E114*$AE114</f>
        <v>0</v>
      </c>
      <c r="AI114" s="268">
        <f t="shared" ref="AI114:AI145" si="129">F114*$AE114</f>
        <v>0</v>
      </c>
      <c r="AJ114" s="268">
        <f t="shared" ref="AJ114:AJ145" si="130">G114*$AE114</f>
        <v>0</v>
      </c>
      <c r="AK114" s="268">
        <f t="shared" ref="AK114:AK145" si="131">H114*$AE114</f>
        <v>0</v>
      </c>
      <c r="AL114" s="268">
        <f t="shared" ref="AL114:AL145" si="132">I114*$AE114</f>
        <v>0</v>
      </c>
      <c r="AM114" s="268">
        <f t="shared" ref="AM114:AM145" si="133">J114*$AE114</f>
        <v>0</v>
      </c>
      <c r="AN114" s="268">
        <f t="shared" ref="AN114:AN145" si="134">K114*$AE114</f>
        <v>0</v>
      </c>
      <c r="AO114" s="268">
        <f t="shared" ref="AO114:AO145" si="135">L114*$AE114</f>
        <v>0</v>
      </c>
      <c r="AP114" s="268">
        <f t="shared" ref="AP114:AP145" si="136">M114*$AE114</f>
        <v>0</v>
      </c>
      <c r="AQ114" s="268">
        <f t="shared" ref="AQ114:AQ145" si="137">N114*$AE114</f>
        <v>0</v>
      </c>
      <c r="AR114" s="268">
        <f t="shared" ref="AR114:AR145" si="138">O114*$AE114</f>
        <v>0</v>
      </c>
      <c r="AS114" s="268">
        <f t="shared" ref="AS114:AS145" si="139">P114*$AE114</f>
        <v>0</v>
      </c>
      <c r="AT114" s="268">
        <f t="shared" ref="AT114:AT145" si="140">Q114*$AE114</f>
        <v>0</v>
      </c>
      <c r="AU114" s="120">
        <f t="shared" ref="AU114:AU163" si="141">SUM(AF114:AT114)</f>
        <v>0</v>
      </c>
      <c r="AW114" s="120">
        <f t="shared" ref="AW114:AW145" si="142">IF(B$171="",0,SUMIF(D$171:D$175,A114,AB$171:AB$175))</f>
        <v>0</v>
      </c>
      <c r="AX114" s="120">
        <f t="shared" ref="AX114:AX145" si="143">IF(B$176="",0,SUMIF(D$176:D$180,A114,AB$176:AB$180))</f>
        <v>0</v>
      </c>
      <c r="AY114" s="120">
        <f t="shared" ref="AY114:AY145" si="144">IF(B$181="",0,SUMIF(D$181:D$185,A114,AB$181:AB$185))</f>
        <v>0</v>
      </c>
      <c r="AZ114" s="120">
        <f t="shared" ref="AZ114:AZ145" si="145">IF(B$186="",0,SUMIF(D$186:D$190,A114,AB$186:AB$190))</f>
        <v>0</v>
      </c>
      <c r="BA114" s="120">
        <f t="shared" ref="BA114:BA145" si="146">IF(B$191="",0,SUMIF(D$191:D$195,A114,AB$191:AB$195))</f>
        <v>0</v>
      </c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"/>
      <c r="BW114" s="1"/>
      <c r="BX114" s="1"/>
      <c r="BY114" s="1"/>
      <c r="BZ114" s="1"/>
    </row>
    <row r="115" spans="1:78" x14ac:dyDescent="0.15">
      <c r="A115" s="307">
        <v>2</v>
      </c>
      <c r="B115" s="84">
        <f>B5</f>
        <v>0</v>
      </c>
      <c r="C115" s="660"/>
      <c r="D115" s="661"/>
      <c r="E115" s="661"/>
      <c r="F115" s="661"/>
      <c r="G115" s="661"/>
      <c r="H115" s="661"/>
      <c r="I115" s="661"/>
      <c r="J115" s="661"/>
      <c r="K115" s="661"/>
      <c r="L115" s="661"/>
      <c r="M115" s="661"/>
      <c r="N115" s="661"/>
      <c r="O115" s="661"/>
      <c r="P115" s="661"/>
      <c r="Q115" s="661"/>
      <c r="R115" s="394">
        <f t="shared" si="123"/>
        <v>0</v>
      </c>
      <c r="S115" s="395"/>
      <c r="T115" s="394">
        <f>J5</f>
        <v>0</v>
      </c>
      <c r="U115" s="395"/>
      <c r="V115" s="433" t="str">
        <f>IF(B115=0,"",IF(R115=0,"NC",R115-T115))</f>
        <v/>
      </c>
      <c r="W115" s="436"/>
      <c r="X115" s="437" t="str">
        <f t="shared" si="124"/>
        <v/>
      </c>
      <c r="AB115" s="266">
        <f t="shared" si="125"/>
        <v>0</v>
      </c>
      <c r="AC115" s="120">
        <f t="shared" ref="AC115:AC163" si="147">C5</f>
        <v>0</v>
      </c>
      <c r="AD115" s="120"/>
      <c r="AE115" s="120">
        <f t="shared" ref="AE115:AE163" si="148">IF(B5="",0,BQ5)</f>
        <v>0</v>
      </c>
      <c r="AF115" s="268">
        <f t="shared" si="126"/>
        <v>0</v>
      </c>
      <c r="AG115" s="268">
        <f t="shared" si="127"/>
        <v>0</v>
      </c>
      <c r="AH115" s="268">
        <f t="shared" si="128"/>
        <v>0</v>
      </c>
      <c r="AI115" s="268">
        <f t="shared" si="129"/>
        <v>0</v>
      </c>
      <c r="AJ115" s="268">
        <f t="shared" si="130"/>
        <v>0</v>
      </c>
      <c r="AK115" s="268">
        <f t="shared" si="131"/>
        <v>0</v>
      </c>
      <c r="AL115" s="268">
        <f t="shared" si="132"/>
        <v>0</v>
      </c>
      <c r="AM115" s="268">
        <f t="shared" si="133"/>
        <v>0</v>
      </c>
      <c r="AN115" s="268">
        <f t="shared" si="134"/>
        <v>0</v>
      </c>
      <c r="AO115" s="268">
        <f t="shared" si="135"/>
        <v>0</v>
      </c>
      <c r="AP115" s="268">
        <f t="shared" si="136"/>
        <v>0</v>
      </c>
      <c r="AQ115" s="268">
        <f t="shared" si="137"/>
        <v>0</v>
      </c>
      <c r="AR115" s="268">
        <f t="shared" si="138"/>
        <v>0</v>
      </c>
      <c r="AS115" s="268">
        <f t="shared" si="139"/>
        <v>0</v>
      </c>
      <c r="AT115" s="268">
        <f t="shared" si="140"/>
        <v>0</v>
      </c>
      <c r="AU115" s="120">
        <f t="shared" si="141"/>
        <v>0</v>
      </c>
      <c r="AW115" s="120">
        <f t="shared" si="142"/>
        <v>0</v>
      </c>
      <c r="AX115" s="120">
        <f t="shared" si="143"/>
        <v>0</v>
      </c>
      <c r="AY115" s="120">
        <f t="shared" si="144"/>
        <v>0</v>
      </c>
      <c r="AZ115" s="120">
        <f t="shared" si="145"/>
        <v>0</v>
      </c>
      <c r="BA115" s="120">
        <f t="shared" si="146"/>
        <v>0</v>
      </c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"/>
      <c r="BW115" s="1"/>
      <c r="BX115" s="1"/>
      <c r="BY115" s="1"/>
      <c r="BZ115" s="1"/>
    </row>
    <row r="116" spans="1:78" x14ac:dyDescent="0.15">
      <c r="A116" s="307">
        <v>3</v>
      </c>
      <c r="B116" s="84">
        <f t="shared" ref="B116:B163" si="149">B6</f>
        <v>0</v>
      </c>
      <c r="C116" s="660"/>
      <c r="D116" s="661"/>
      <c r="E116" s="661"/>
      <c r="F116" s="661"/>
      <c r="G116" s="661"/>
      <c r="H116" s="661"/>
      <c r="I116" s="661"/>
      <c r="J116" s="661"/>
      <c r="K116" s="661"/>
      <c r="L116" s="661"/>
      <c r="M116" s="661"/>
      <c r="N116" s="661"/>
      <c r="O116" s="661"/>
      <c r="P116" s="661"/>
      <c r="Q116" s="661"/>
      <c r="R116" s="394">
        <f t="shared" si="123"/>
        <v>0</v>
      </c>
      <c r="S116" s="395"/>
      <c r="T116" s="394">
        <f t="shared" ref="T116:T163" si="150">J6</f>
        <v>0</v>
      </c>
      <c r="U116" s="395"/>
      <c r="V116" s="433" t="str">
        <f t="shared" ref="V116:V163" si="151">IF(B116=0,"",IF(R116=0,"NC",R116-T116))</f>
        <v/>
      </c>
      <c r="W116" s="436"/>
      <c r="X116" s="437" t="str">
        <f t="shared" si="124"/>
        <v/>
      </c>
      <c r="AB116" s="266">
        <f t="shared" si="125"/>
        <v>0</v>
      </c>
      <c r="AC116" s="120">
        <f t="shared" si="147"/>
        <v>0</v>
      </c>
      <c r="AD116" s="120"/>
      <c r="AE116" s="120">
        <f t="shared" si="148"/>
        <v>0</v>
      </c>
      <c r="AF116" s="268">
        <f t="shared" si="126"/>
        <v>0</v>
      </c>
      <c r="AG116" s="268">
        <f t="shared" si="127"/>
        <v>0</v>
      </c>
      <c r="AH116" s="268">
        <f t="shared" si="128"/>
        <v>0</v>
      </c>
      <c r="AI116" s="268">
        <f t="shared" si="129"/>
        <v>0</v>
      </c>
      <c r="AJ116" s="268">
        <f t="shared" si="130"/>
        <v>0</v>
      </c>
      <c r="AK116" s="268">
        <f t="shared" si="131"/>
        <v>0</v>
      </c>
      <c r="AL116" s="268">
        <f t="shared" si="132"/>
        <v>0</v>
      </c>
      <c r="AM116" s="268">
        <f t="shared" si="133"/>
        <v>0</v>
      </c>
      <c r="AN116" s="268">
        <f t="shared" si="134"/>
        <v>0</v>
      </c>
      <c r="AO116" s="268">
        <f t="shared" si="135"/>
        <v>0</v>
      </c>
      <c r="AP116" s="268">
        <f t="shared" si="136"/>
        <v>0</v>
      </c>
      <c r="AQ116" s="268">
        <f t="shared" si="137"/>
        <v>0</v>
      </c>
      <c r="AR116" s="268">
        <f t="shared" si="138"/>
        <v>0</v>
      </c>
      <c r="AS116" s="268">
        <f t="shared" si="139"/>
        <v>0</v>
      </c>
      <c r="AT116" s="268">
        <f t="shared" si="140"/>
        <v>0</v>
      </c>
      <c r="AU116" s="120">
        <f t="shared" si="141"/>
        <v>0</v>
      </c>
      <c r="AW116" s="120">
        <f t="shared" si="142"/>
        <v>0</v>
      </c>
      <c r="AX116" s="120">
        <f t="shared" si="143"/>
        <v>0</v>
      </c>
      <c r="AY116" s="120">
        <f t="shared" si="144"/>
        <v>0</v>
      </c>
      <c r="AZ116" s="120">
        <f t="shared" si="145"/>
        <v>0</v>
      </c>
      <c r="BA116" s="120">
        <f t="shared" si="146"/>
        <v>0</v>
      </c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"/>
      <c r="BW116" s="1"/>
      <c r="BX116" s="1"/>
      <c r="BY116" s="1"/>
      <c r="BZ116" s="1"/>
    </row>
    <row r="117" spans="1:78" x14ac:dyDescent="0.15">
      <c r="A117" s="307">
        <v>4</v>
      </c>
      <c r="B117" s="84">
        <f t="shared" si="149"/>
        <v>0</v>
      </c>
      <c r="C117" s="660"/>
      <c r="D117" s="660"/>
      <c r="E117" s="660"/>
      <c r="F117" s="660"/>
      <c r="G117" s="660"/>
      <c r="H117" s="660"/>
      <c r="I117" s="660"/>
      <c r="J117" s="661"/>
      <c r="K117" s="661"/>
      <c r="L117" s="661"/>
      <c r="M117" s="661"/>
      <c r="N117" s="661"/>
      <c r="O117" s="661"/>
      <c r="P117" s="661"/>
      <c r="Q117" s="661"/>
      <c r="R117" s="394">
        <f t="shared" si="123"/>
        <v>0</v>
      </c>
      <c r="S117" s="395"/>
      <c r="T117" s="394">
        <f t="shared" si="150"/>
        <v>0</v>
      </c>
      <c r="U117" s="395"/>
      <c r="V117" s="433" t="str">
        <f t="shared" si="151"/>
        <v/>
      </c>
      <c r="W117" s="436"/>
      <c r="X117" s="437" t="str">
        <f t="shared" si="124"/>
        <v/>
      </c>
      <c r="AB117" s="266">
        <f t="shared" si="125"/>
        <v>0</v>
      </c>
      <c r="AC117" s="120">
        <f t="shared" si="147"/>
        <v>0</v>
      </c>
      <c r="AD117" s="120"/>
      <c r="AE117" s="120">
        <f t="shared" si="148"/>
        <v>0</v>
      </c>
      <c r="AF117" s="268">
        <f t="shared" si="126"/>
        <v>0</v>
      </c>
      <c r="AG117" s="268">
        <f t="shared" si="127"/>
        <v>0</v>
      </c>
      <c r="AH117" s="268">
        <f t="shared" si="128"/>
        <v>0</v>
      </c>
      <c r="AI117" s="268">
        <f t="shared" si="129"/>
        <v>0</v>
      </c>
      <c r="AJ117" s="268">
        <f t="shared" si="130"/>
        <v>0</v>
      </c>
      <c r="AK117" s="268">
        <f t="shared" si="131"/>
        <v>0</v>
      </c>
      <c r="AL117" s="268">
        <f t="shared" si="132"/>
        <v>0</v>
      </c>
      <c r="AM117" s="268">
        <f t="shared" si="133"/>
        <v>0</v>
      </c>
      <c r="AN117" s="268">
        <f t="shared" si="134"/>
        <v>0</v>
      </c>
      <c r="AO117" s="268">
        <f t="shared" si="135"/>
        <v>0</v>
      </c>
      <c r="AP117" s="268">
        <f t="shared" si="136"/>
        <v>0</v>
      </c>
      <c r="AQ117" s="268">
        <f t="shared" si="137"/>
        <v>0</v>
      </c>
      <c r="AR117" s="268">
        <f t="shared" si="138"/>
        <v>0</v>
      </c>
      <c r="AS117" s="268">
        <f t="shared" si="139"/>
        <v>0</v>
      </c>
      <c r="AT117" s="268">
        <f t="shared" si="140"/>
        <v>0</v>
      </c>
      <c r="AU117" s="120">
        <f t="shared" si="141"/>
        <v>0</v>
      </c>
      <c r="AW117" s="120">
        <f t="shared" si="142"/>
        <v>0</v>
      </c>
      <c r="AX117" s="120">
        <f t="shared" si="143"/>
        <v>0</v>
      </c>
      <c r="AY117" s="120">
        <f t="shared" si="144"/>
        <v>0</v>
      </c>
      <c r="AZ117" s="120">
        <f t="shared" si="145"/>
        <v>0</v>
      </c>
      <c r="BA117" s="120">
        <f t="shared" si="146"/>
        <v>0</v>
      </c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"/>
      <c r="BW117" s="1"/>
      <c r="BX117" s="1"/>
      <c r="BY117" s="1"/>
      <c r="BZ117" s="1"/>
    </row>
    <row r="118" spans="1:78" x14ac:dyDescent="0.15">
      <c r="A118" s="307">
        <v>5</v>
      </c>
      <c r="B118" s="84">
        <f t="shared" si="149"/>
        <v>0</v>
      </c>
      <c r="C118" s="660"/>
      <c r="D118" s="660"/>
      <c r="E118" s="660"/>
      <c r="F118" s="660"/>
      <c r="G118" s="660"/>
      <c r="H118" s="660"/>
      <c r="I118" s="660"/>
      <c r="J118" s="661"/>
      <c r="K118" s="661"/>
      <c r="L118" s="661"/>
      <c r="M118" s="661"/>
      <c r="N118" s="661"/>
      <c r="O118" s="661"/>
      <c r="P118" s="661"/>
      <c r="Q118" s="661"/>
      <c r="R118" s="394">
        <f t="shared" si="123"/>
        <v>0</v>
      </c>
      <c r="S118" s="395"/>
      <c r="T118" s="394">
        <f t="shared" si="150"/>
        <v>0</v>
      </c>
      <c r="U118" s="395"/>
      <c r="V118" s="433" t="str">
        <f t="shared" si="151"/>
        <v/>
      </c>
      <c r="W118" s="436"/>
      <c r="X118" s="437" t="str">
        <f t="shared" si="124"/>
        <v/>
      </c>
      <c r="AB118" s="266">
        <f t="shared" si="125"/>
        <v>0</v>
      </c>
      <c r="AC118" s="120">
        <f t="shared" si="147"/>
        <v>0</v>
      </c>
      <c r="AD118" s="120"/>
      <c r="AE118" s="120">
        <f t="shared" si="148"/>
        <v>0</v>
      </c>
      <c r="AF118" s="268">
        <f t="shared" si="126"/>
        <v>0</v>
      </c>
      <c r="AG118" s="268">
        <f t="shared" si="127"/>
        <v>0</v>
      </c>
      <c r="AH118" s="268">
        <f t="shared" si="128"/>
        <v>0</v>
      </c>
      <c r="AI118" s="268">
        <f t="shared" si="129"/>
        <v>0</v>
      </c>
      <c r="AJ118" s="268">
        <f t="shared" si="130"/>
        <v>0</v>
      </c>
      <c r="AK118" s="268">
        <f t="shared" si="131"/>
        <v>0</v>
      </c>
      <c r="AL118" s="268">
        <f t="shared" si="132"/>
        <v>0</v>
      </c>
      <c r="AM118" s="268">
        <f t="shared" si="133"/>
        <v>0</v>
      </c>
      <c r="AN118" s="268">
        <f t="shared" si="134"/>
        <v>0</v>
      </c>
      <c r="AO118" s="268">
        <f t="shared" si="135"/>
        <v>0</v>
      </c>
      <c r="AP118" s="268">
        <f t="shared" si="136"/>
        <v>0</v>
      </c>
      <c r="AQ118" s="268">
        <f t="shared" si="137"/>
        <v>0</v>
      </c>
      <c r="AR118" s="268">
        <f t="shared" si="138"/>
        <v>0</v>
      </c>
      <c r="AS118" s="268">
        <f t="shared" si="139"/>
        <v>0</v>
      </c>
      <c r="AT118" s="268">
        <f t="shared" si="140"/>
        <v>0</v>
      </c>
      <c r="AU118" s="120">
        <f t="shared" si="141"/>
        <v>0</v>
      </c>
      <c r="AW118" s="120">
        <f t="shared" si="142"/>
        <v>0</v>
      </c>
      <c r="AX118" s="120">
        <f t="shared" si="143"/>
        <v>0</v>
      </c>
      <c r="AY118" s="120">
        <f t="shared" si="144"/>
        <v>0</v>
      </c>
      <c r="AZ118" s="120">
        <f t="shared" si="145"/>
        <v>0</v>
      </c>
      <c r="BA118" s="120">
        <f t="shared" si="146"/>
        <v>0</v>
      </c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"/>
      <c r="BW118" s="1"/>
      <c r="BX118" s="1"/>
      <c r="BY118" s="1"/>
      <c r="BZ118" s="1"/>
    </row>
    <row r="119" spans="1:78" x14ac:dyDescent="0.15">
      <c r="A119" s="307">
        <v>6</v>
      </c>
      <c r="B119" s="84">
        <f t="shared" si="149"/>
        <v>0</v>
      </c>
      <c r="C119" s="660"/>
      <c r="D119" s="660"/>
      <c r="E119" s="660"/>
      <c r="F119" s="660"/>
      <c r="G119" s="660"/>
      <c r="H119" s="660"/>
      <c r="I119" s="660"/>
      <c r="J119" s="661"/>
      <c r="K119" s="661"/>
      <c r="L119" s="661"/>
      <c r="M119" s="661"/>
      <c r="N119" s="661"/>
      <c r="O119" s="661"/>
      <c r="P119" s="661"/>
      <c r="Q119" s="661"/>
      <c r="R119" s="394">
        <f t="shared" si="123"/>
        <v>0</v>
      </c>
      <c r="S119" s="395"/>
      <c r="T119" s="394">
        <f t="shared" si="150"/>
        <v>0</v>
      </c>
      <c r="U119" s="395"/>
      <c r="V119" s="433" t="str">
        <f t="shared" si="151"/>
        <v/>
      </c>
      <c r="W119" s="436"/>
      <c r="X119" s="437" t="str">
        <f t="shared" si="124"/>
        <v/>
      </c>
      <c r="AB119" s="266">
        <f t="shared" si="125"/>
        <v>0</v>
      </c>
      <c r="AC119" s="120">
        <f t="shared" si="147"/>
        <v>0</v>
      </c>
      <c r="AD119" s="120"/>
      <c r="AE119" s="120">
        <f t="shared" si="148"/>
        <v>0</v>
      </c>
      <c r="AF119" s="268">
        <f t="shared" si="126"/>
        <v>0</v>
      </c>
      <c r="AG119" s="268">
        <f t="shared" si="127"/>
        <v>0</v>
      </c>
      <c r="AH119" s="268">
        <f t="shared" si="128"/>
        <v>0</v>
      </c>
      <c r="AI119" s="268">
        <f t="shared" si="129"/>
        <v>0</v>
      </c>
      <c r="AJ119" s="268">
        <f t="shared" si="130"/>
        <v>0</v>
      </c>
      <c r="AK119" s="268">
        <f t="shared" si="131"/>
        <v>0</v>
      </c>
      <c r="AL119" s="268">
        <f t="shared" si="132"/>
        <v>0</v>
      </c>
      <c r="AM119" s="268">
        <f t="shared" si="133"/>
        <v>0</v>
      </c>
      <c r="AN119" s="268">
        <f t="shared" si="134"/>
        <v>0</v>
      </c>
      <c r="AO119" s="268">
        <f t="shared" si="135"/>
        <v>0</v>
      </c>
      <c r="AP119" s="268">
        <f t="shared" si="136"/>
        <v>0</v>
      </c>
      <c r="AQ119" s="268">
        <f t="shared" si="137"/>
        <v>0</v>
      </c>
      <c r="AR119" s="268">
        <f t="shared" si="138"/>
        <v>0</v>
      </c>
      <c r="AS119" s="268">
        <f t="shared" si="139"/>
        <v>0</v>
      </c>
      <c r="AT119" s="268">
        <f t="shared" si="140"/>
        <v>0</v>
      </c>
      <c r="AU119" s="120">
        <f t="shared" si="141"/>
        <v>0</v>
      </c>
      <c r="AW119" s="120">
        <f t="shared" si="142"/>
        <v>0</v>
      </c>
      <c r="AX119" s="120">
        <f t="shared" si="143"/>
        <v>0</v>
      </c>
      <c r="AY119" s="120">
        <f t="shared" si="144"/>
        <v>0</v>
      </c>
      <c r="AZ119" s="120">
        <f t="shared" si="145"/>
        <v>0</v>
      </c>
      <c r="BA119" s="120">
        <f t="shared" si="146"/>
        <v>0</v>
      </c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"/>
      <c r="BW119" s="1"/>
      <c r="BX119" s="1"/>
      <c r="BY119" s="1"/>
      <c r="BZ119" s="1"/>
    </row>
    <row r="120" spans="1:78" x14ac:dyDescent="0.15">
      <c r="A120" s="307">
        <v>7</v>
      </c>
      <c r="B120" s="84">
        <f t="shared" si="149"/>
        <v>0</v>
      </c>
      <c r="C120" s="660"/>
      <c r="D120" s="660"/>
      <c r="E120" s="660"/>
      <c r="F120" s="660"/>
      <c r="G120" s="661"/>
      <c r="H120" s="661"/>
      <c r="I120" s="660"/>
      <c r="J120" s="661"/>
      <c r="K120" s="661"/>
      <c r="L120" s="661"/>
      <c r="M120" s="661"/>
      <c r="N120" s="661"/>
      <c r="O120" s="661"/>
      <c r="P120" s="661"/>
      <c r="Q120" s="661"/>
      <c r="R120" s="394">
        <f t="shared" si="123"/>
        <v>0</v>
      </c>
      <c r="S120" s="395"/>
      <c r="T120" s="394">
        <f t="shared" si="150"/>
        <v>0</v>
      </c>
      <c r="U120" s="395"/>
      <c r="V120" s="433" t="str">
        <f t="shared" si="151"/>
        <v/>
      </c>
      <c r="W120" s="436"/>
      <c r="X120" s="437" t="str">
        <f t="shared" si="124"/>
        <v/>
      </c>
      <c r="AB120" s="266">
        <f t="shared" si="125"/>
        <v>0</v>
      </c>
      <c r="AC120" s="120">
        <f t="shared" si="147"/>
        <v>0</v>
      </c>
      <c r="AD120" s="120"/>
      <c r="AE120" s="120">
        <f t="shared" si="148"/>
        <v>0</v>
      </c>
      <c r="AF120" s="268">
        <f t="shared" si="126"/>
        <v>0</v>
      </c>
      <c r="AG120" s="268">
        <f t="shared" si="127"/>
        <v>0</v>
      </c>
      <c r="AH120" s="268">
        <f t="shared" si="128"/>
        <v>0</v>
      </c>
      <c r="AI120" s="268">
        <f t="shared" si="129"/>
        <v>0</v>
      </c>
      <c r="AJ120" s="268">
        <f t="shared" si="130"/>
        <v>0</v>
      </c>
      <c r="AK120" s="268">
        <f t="shared" si="131"/>
        <v>0</v>
      </c>
      <c r="AL120" s="268">
        <f t="shared" si="132"/>
        <v>0</v>
      </c>
      <c r="AM120" s="268">
        <f t="shared" si="133"/>
        <v>0</v>
      </c>
      <c r="AN120" s="268">
        <f t="shared" si="134"/>
        <v>0</v>
      </c>
      <c r="AO120" s="268">
        <f t="shared" si="135"/>
        <v>0</v>
      </c>
      <c r="AP120" s="268">
        <f t="shared" si="136"/>
        <v>0</v>
      </c>
      <c r="AQ120" s="268">
        <f t="shared" si="137"/>
        <v>0</v>
      </c>
      <c r="AR120" s="268">
        <f t="shared" si="138"/>
        <v>0</v>
      </c>
      <c r="AS120" s="268">
        <f t="shared" si="139"/>
        <v>0</v>
      </c>
      <c r="AT120" s="268">
        <f t="shared" si="140"/>
        <v>0</v>
      </c>
      <c r="AU120" s="120">
        <f t="shared" si="141"/>
        <v>0</v>
      </c>
      <c r="AW120" s="120">
        <f t="shared" si="142"/>
        <v>0</v>
      </c>
      <c r="AX120" s="120">
        <f t="shared" si="143"/>
        <v>0</v>
      </c>
      <c r="AY120" s="120">
        <f t="shared" si="144"/>
        <v>0</v>
      </c>
      <c r="AZ120" s="120">
        <f t="shared" si="145"/>
        <v>0</v>
      </c>
      <c r="BA120" s="120">
        <f t="shared" si="146"/>
        <v>0</v>
      </c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"/>
      <c r="BW120" s="1"/>
      <c r="BX120" s="1"/>
      <c r="BY120" s="1"/>
      <c r="BZ120" s="1"/>
    </row>
    <row r="121" spans="1:78" x14ac:dyDescent="0.15">
      <c r="A121" s="307">
        <v>8</v>
      </c>
      <c r="B121" s="84">
        <f t="shared" si="149"/>
        <v>0</v>
      </c>
      <c r="C121" s="660"/>
      <c r="D121" s="661"/>
      <c r="E121" s="661"/>
      <c r="F121" s="661"/>
      <c r="G121" s="661"/>
      <c r="H121" s="661"/>
      <c r="I121" s="661"/>
      <c r="J121" s="661"/>
      <c r="K121" s="661"/>
      <c r="L121" s="661"/>
      <c r="M121" s="661"/>
      <c r="N121" s="661"/>
      <c r="O121" s="661"/>
      <c r="P121" s="661"/>
      <c r="Q121" s="661"/>
      <c r="R121" s="394">
        <f t="shared" si="123"/>
        <v>0</v>
      </c>
      <c r="S121" s="395"/>
      <c r="T121" s="394">
        <f t="shared" si="150"/>
        <v>0</v>
      </c>
      <c r="U121" s="395"/>
      <c r="V121" s="433" t="str">
        <f t="shared" si="151"/>
        <v/>
      </c>
      <c r="W121" s="436"/>
      <c r="X121" s="437" t="str">
        <f t="shared" si="124"/>
        <v/>
      </c>
      <c r="AB121" s="266">
        <f t="shared" si="125"/>
        <v>0</v>
      </c>
      <c r="AC121" s="120">
        <f t="shared" si="147"/>
        <v>0</v>
      </c>
      <c r="AD121" s="120"/>
      <c r="AE121" s="120">
        <f t="shared" si="148"/>
        <v>0</v>
      </c>
      <c r="AF121" s="268">
        <f t="shared" si="126"/>
        <v>0</v>
      </c>
      <c r="AG121" s="268">
        <f t="shared" si="127"/>
        <v>0</v>
      </c>
      <c r="AH121" s="268">
        <f t="shared" si="128"/>
        <v>0</v>
      </c>
      <c r="AI121" s="268">
        <f t="shared" si="129"/>
        <v>0</v>
      </c>
      <c r="AJ121" s="268">
        <f t="shared" si="130"/>
        <v>0</v>
      </c>
      <c r="AK121" s="268">
        <f t="shared" si="131"/>
        <v>0</v>
      </c>
      <c r="AL121" s="268">
        <f t="shared" si="132"/>
        <v>0</v>
      </c>
      <c r="AM121" s="268">
        <f t="shared" si="133"/>
        <v>0</v>
      </c>
      <c r="AN121" s="268">
        <f t="shared" si="134"/>
        <v>0</v>
      </c>
      <c r="AO121" s="268">
        <f t="shared" si="135"/>
        <v>0</v>
      </c>
      <c r="AP121" s="268">
        <f t="shared" si="136"/>
        <v>0</v>
      </c>
      <c r="AQ121" s="268">
        <f t="shared" si="137"/>
        <v>0</v>
      </c>
      <c r="AR121" s="268">
        <f t="shared" si="138"/>
        <v>0</v>
      </c>
      <c r="AS121" s="268">
        <f t="shared" si="139"/>
        <v>0</v>
      </c>
      <c r="AT121" s="268">
        <f t="shared" si="140"/>
        <v>0</v>
      </c>
      <c r="AU121" s="120">
        <f t="shared" si="141"/>
        <v>0</v>
      </c>
      <c r="AW121" s="120">
        <f t="shared" si="142"/>
        <v>0</v>
      </c>
      <c r="AX121" s="120">
        <f t="shared" si="143"/>
        <v>0</v>
      </c>
      <c r="AY121" s="120">
        <f t="shared" si="144"/>
        <v>0</v>
      </c>
      <c r="AZ121" s="120">
        <f t="shared" si="145"/>
        <v>0</v>
      </c>
      <c r="BA121" s="120">
        <f t="shared" si="146"/>
        <v>0</v>
      </c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"/>
      <c r="BW121" s="1"/>
      <c r="BX121" s="1"/>
      <c r="BY121" s="1"/>
      <c r="BZ121" s="1"/>
    </row>
    <row r="122" spans="1:78" x14ac:dyDescent="0.15">
      <c r="A122" s="307">
        <v>9</v>
      </c>
      <c r="B122" s="84">
        <f t="shared" si="149"/>
        <v>0</v>
      </c>
      <c r="C122" s="660"/>
      <c r="D122" s="661"/>
      <c r="E122" s="661"/>
      <c r="F122" s="661"/>
      <c r="G122" s="661"/>
      <c r="H122" s="661"/>
      <c r="I122" s="661"/>
      <c r="J122" s="661"/>
      <c r="K122" s="661"/>
      <c r="L122" s="661"/>
      <c r="M122" s="661"/>
      <c r="N122" s="661"/>
      <c r="O122" s="661"/>
      <c r="P122" s="661"/>
      <c r="Q122" s="661"/>
      <c r="R122" s="394">
        <f t="shared" si="123"/>
        <v>0</v>
      </c>
      <c r="S122" s="395"/>
      <c r="T122" s="394">
        <f t="shared" si="150"/>
        <v>0</v>
      </c>
      <c r="U122" s="395"/>
      <c r="V122" s="433" t="str">
        <f t="shared" si="151"/>
        <v/>
      </c>
      <c r="W122" s="436"/>
      <c r="X122" s="437" t="str">
        <f t="shared" si="124"/>
        <v/>
      </c>
      <c r="AB122" s="266">
        <f t="shared" si="125"/>
        <v>0</v>
      </c>
      <c r="AC122" s="120">
        <f t="shared" si="147"/>
        <v>0</v>
      </c>
      <c r="AD122" s="120"/>
      <c r="AE122" s="120">
        <f t="shared" si="148"/>
        <v>0</v>
      </c>
      <c r="AF122" s="268">
        <f t="shared" si="126"/>
        <v>0</v>
      </c>
      <c r="AG122" s="268">
        <f t="shared" si="127"/>
        <v>0</v>
      </c>
      <c r="AH122" s="268">
        <f t="shared" si="128"/>
        <v>0</v>
      </c>
      <c r="AI122" s="268">
        <f t="shared" si="129"/>
        <v>0</v>
      </c>
      <c r="AJ122" s="268">
        <f t="shared" si="130"/>
        <v>0</v>
      </c>
      <c r="AK122" s="268">
        <f t="shared" si="131"/>
        <v>0</v>
      </c>
      <c r="AL122" s="268">
        <f t="shared" si="132"/>
        <v>0</v>
      </c>
      <c r="AM122" s="268">
        <f t="shared" si="133"/>
        <v>0</v>
      </c>
      <c r="AN122" s="268">
        <f t="shared" si="134"/>
        <v>0</v>
      </c>
      <c r="AO122" s="268">
        <f t="shared" si="135"/>
        <v>0</v>
      </c>
      <c r="AP122" s="268">
        <f t="shared" si="136"/>
        <v>0</v>
      </c>
      <c r="AQ122" s="268">
        <f t="shared" si="137"/>
        <v>0</v>
      </c>
      <c r="AR122" s="268">
        <f t="shared" si="138"/>
        <v>0</v>
      </c>
      <c r="AS122" s="268">
        <f t="shared" si="139"/>
        <v>0</v>
      </c>
      <c r="AT122" s="268">
        <f t="shared" si="140"/>
        <v>0</v>
      </c>
      <c r="AU122" s="120">
        <f t="shared" si="141"/>
        <v>0</v>
      </c>
      <c r="AW122" s="120">
        <f t="shared" si="142"/>
        <v>0</v>
      </c>
      <c r="AX122" s="120">
        <f t="shared" si="143"/>
        <v>0</v>
      </c>
      <c r="AY122" s="120">
        <f t="shared" si="144"/>
        <v>0</v>
      </c>
      <c r="AZ122" s="120">
        <f t="shared" si="145"/>
        <v>0</v>
      </c>
      <c r="BA122" s="120">
        <f t="shared" si="146"/>
        <v>0</v>
      </c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"/>
      <c r="BW122" s="1"/>
      <c r="BX122" s="1"/>
      <c r="BY122" s="1"/>
      <c r="BZ122" s="1"/>
    </row>
    <row r="123" spans="1:78" x14ac:dyDescent="0.15">
      <c r="A123" s="307">
        <v>10</v>
      </c>
      <c r="B123" s="84">
        <f t="shared" si="149"/>
        <v>0</v>
      </c>
      <c r="C123" s="660"/>
      <c r="D123" s="661"/>
      <c r="E123" s="661"/>
      <c r="F123" s="661"/>
      <c r="G123" s="661"/>
      <c r="H123" s="661"/>
      <c r="I123" s="661"/>
      <c r="J123" s="661"/>
      <c r="K123" s="661"/>
      <c r="L123" s="661"/>
      <c r="M123" s="661"/>
      <c r="N123" s="661"/>
      <c r="O123" s="661"/>
      <c r="P123" s="661"/>
      <c r="Q123" s="661"/>
      <c r="R123" s="394">
        <f t="shared" si="123"/>
        <v>0</v>
      </c>
      <c r="S123" s="395"/>
      <c r="T123" s="394">
        <f t="shared" si="150"/>
        <v>0</v>
      </c>
      <c r="U123" s="395"/>
      <c r="V123" s="433" t="str">
        <f t="shared" si="151"/>
        <v/>
      </c>
      <c r="W123" s="436"/>
      <c r="X123" s="437" t="str">
        <f t="shared" si="124"/>
        <v/>
      </c>
      <c r="AB123" s="266">
        <f t="shared" si="125"/>
        <v>0</v>
      </c>
      <c r="AC123" s="120">
        <f t="shared" si="147"/>
        <v>0</v>
      </c>
      <c r="AD123" s="120"/>
      <c r="AE123" s="120">
        <f t="shared" si="148"/>
        <v>0</v>
      </c>
      <c r="AF123" s="268">
        <f t="shared" si="126"/>
        <v>0</v>
      </c>
      <c r="AG123" s="268">
        <f t="shared" si="127"/>
        <v>0</v>
      </c>
      <c r="AH123" s="268">
        <f t="shared" si="128"/>
        <v>0</v>
      </c>
      <c r="AI123" s="268">
        <f t="shared" si="129"/>
        <v>0</v>
      </c>
      <c r="AJ123" s="268">
        <f t="shared" si="130"/>
        <v>0</v>
      </c>
      <c r="AK123" s="268">
        <f t="shared" si="131"/>
        <v>0</v>
      </c>
      <c r="AL123" s="268">
        <f t="shared" si="132"/>
        <v>0</v>
      </c>
      <c r="AM123" s="268">
        <f t="shared" si="133"/>
        <v>0</v>
      </c>
      <c r="AN123" s="268">
        <f t="shared" si="134"/>
        <v>0</v>
      </c>
      <c r="AO123" s="268">
        <f t="shared" si="135"/>
        <v>0</v>
      </c>
      <c r="AP123" s="268">
        <f t="shared" si="136"/>
        <v>0</v>
      </c>
      <c r="AQ123" s="268">
        <f t="shared" si="137"/>
        <v>0</v>
      </c>
      <c r="AR123" s="268">
        <f t="shared" si="138"/>
        <v>0</v>
      </c>
      <c r="AS123" s="268">
        <f t="shared" si="139"/>
        <v>0</v>
      </c>
      <c r="AT123" s="268">
        <f t="shared" si="140"/>
        <v>0</v>
      </c>
      <c r="AU123" s="120">
        <f t="shared" si="141"/>
        <v>0</v>
      </c>
      <c r="AW123" s="120">
        <f t="shared" si="142"/>
        <v>0</v>
      </c>
      <c r="AX123" s="120">
        <f t="shared" si="143"/>
        <v>0</v>
      </c>
      <c r="AY123" s="120">
        <f t="shared" si="144"/>
        <v>0</v>
      </c>
      <c r="AZ123" s="120">
        <f t="shared" si="145"/>
        <v>0</v>
      </c>
      <c r="BA123" s="120">
        <f t="shared" si="146"/>
        <v>0</v>
      </c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"/>
      <c r="BW123" s="1"/>
      <c r="BX123" s="1"/>
      <c r="BY123" s="1"/>
      <c r="BZ123" s="1"/>
    </row>
    <row r="124" spans="1:78" x14ac:dyDescent="0.15">
      <c r="A124" s="307">
        <v>11</v>
      </c>
      <c r="B124" s="84">
        <f>B14</f>
        <v>0</v>
      </c>
      <c r="C124" s="660"/>
      <c r="D124" s="661"/>
      <c r="E124" s="661"/>
      <c r="F124" s="661"/>
      <c r="G124" s="661"/>
      <c r="H124" s="661"/>
      <c r="I124" s="661"/>
      <c r="J124" s="661"/>
      <c r="K124" s="661"/>
      <c r="L124" s="661"/>
      <c r="M124" s="661"/>
      <c r="N124" s="661"/>
      <c r="O124" s="661"/>
      <c r="P124" s="661"/>
      <c r="Q124" s="661"/>
      <c r="R124" s="394">
        <f t="shared" si="123"/>
        <v>0</v>
      </c>
      <c r="S124" s="395"/>
      <c r="T124" s="394">
        <f t="shared" si="150"/>
        <v>0</v>
      </c>
      <c r="U124" s="395"/>
      <c r="V124" s="433" t="str">
        <f t="shared" si="151"/>
        <v/>
      </c>
      <c r="W124" s="436"/>
      <c r="X124" s="437" t="str">
        <f t="shared" si="124"/>
        <v/>
      </c>
      <c r="AB124" s="266">
        <f t="shared" si="125"/>
        <v>0</v>
      </c>
      <c r="AC124" s="120">
        <f>C14</f>
        <v>0</v>
      </c>
      <c r="AD124" s="120"/>
      <c r="AE124" s="120">
        <f>IF(B14="",0,BQ14)</f>
        <v>0</v>
      </c>
      <c r="AF124" s="268">
        <f t="shared" si="126"/>
        <v>0</v>
      </c>
      <c r="AG124" s="268">
        <f t="shared" si="127"/>
        <v>0</v>
      </c>
      <c r="AH124" s="268">
        <f t="shared" si="128"/>
        <v>0</v>
      </c>
      <c r="AI124" s="268">
        <f t="shared" si="129"/>
        <v>0</v>
      </c>
      <c r="AJ124" s="268">
        <f t="shared" si="130"/>
        <v>0</v>
      </c>
      <c r="AK124" s="268">
        <f t="shared" si="131"/>
        <v>0</v>
      </c>
      <c r="AL124" s="268">
        <f t="shared" si="132"/>
        <v>0</v>
      </c>
      <c r="AM124" s="268">
        <f t="shared" si="133"/>
        <v>0</v>
      </c>
      <c r="AN124" s="268">
        <f t="shared" si="134"/>
        <v>0</v>
      </c>
      <c r="AO124" s="268">
        <f t="shared" si="135"/>
        <v>0</v>
      </c>
      <c r="AP124" s="268">
        <f t="shared" si="136"/>
        <v>0</v>
      </c>
      <c r="AQ124" s="268">
        <f t="shared" si="137"/>
        <v>0</v>
      </c>
      <c r="AR124" s="268">
        <f t="shared" si="138"/>
        <v>0</v>
      </c>
      <c r="AS124" s="268">
        <f t="shared" si="139"/>
        <v>0</v>
      </c>
      <c r="AT124" s="268">
        <f t="shared" si="140"/>
        <v>0</v>
      </c>
      <c r="AU124" s="120">
        <f t="shared" si="141"/>
        <v>0</v>
      </c>
      <c r="AW124" s="120">
        <f t="shared" si="142"/>
        <v>0</v>
      </c>
      <c r="AX124" s="120">
        <f t="shared" si="143"/>
        <v>0</v>
      </c>
      <c r="AY124" s="120">
        <f t="shared" si="144"/>
        <v>0</v>
      </c>
      <c r="AZ124" s="120">
        <f t="shared" si="145"/>
        <v>0</v>
      </c>
      <c r="BA124" s="120">
        <f t="shared" si="146"/>
        <v>0</v>
      </c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"/>
      <c r="BW124" s="1"/>
      <c r="BX124" s="1"/>
      <c r="BY124" s="1"/>
      <c r="BZ124" s="1"/>
    </row>
    <row r="125" spans="1:78" x14ac:dyDescent="0.15">
      <c r="A125" s="307">
        <v>12</v>
      </c>
      <c r="B125" s="84">
        <f t="shared" si="149"/>
        <v>0</v>
      </c>
      <c r="C125" s="660"/>
      <c r="D125" s="661"/>
      <c r="E125" s="661"/>
      <c r="F125" s="661"/>
      <c r="G125" s="661"/>
      <c r="H125" s="661"/>
      <c r="I125" s="661"/>
      <c r="J125" s="661"/>
      <c r="K125" s="661"/>
      <c r="L125" s="661"/>
      <c r="M125" s="661"/>
      <c r="N125" s="661"/>
      <c r="O125" s="661"/>
      <c r="P125" s="661"/>
      <c r="Q125" s="661"/>
      <c r="R125" s="394">
        <f t="shared" si="123"/>
        <v>0</v>
      </c>
      <c r="S125" s="395"/>
      <c r="T125" s="394">
        <f t="shared" si="150"/>
        <v>0</v>
      </c>
      <c r="U125" s="395"/>
      <c r="V125" s="433" t="str">
        <f t="shared" si="151"/>
        <v/>
      </c>
      <c r="W125" s="436"/>
      <c r="X125" s="437" t="str">
        <f t="shared" si="124"/>
        <v/>
      </c>
      <c r="AB125" s="266">
        <f t="shared" si="125"/>
        <v>0</v>
      </c>
      <c r="AC125" s="120">
        <f t="shared" si="147"/>
        <v>0</v>
      </c>
      <c r="AD125" s="120"/>
      <c r="AE125" s="120">
        <f t="shared" si="148"/>
        <v>0</v>
      </c>
      <c r="AF125" s="268">
        <f t="shared" si="126"/>
        <v>0</v>
      </c>
      <c r="AG125" s="268">
        <f t="shared" si="127"/>
        <v>0</v>
      </c>
      <c r="AH125" s="268">
        <f t="shared" si="128"/>
        <v>0</v>
      </c>
      <c r="AI125" s="268">
        <f t="shared" si="129"/>
        <v>0</v>
      </c>
      <c r="AJ125" s="268">
        <f t="shared" si="130"/>
        <v>0</v>
      </c>
      <c r="AK125" s="268">
        <f t="shared" si="131"/>
        <v>0</v>
      </c>
      <c r="AL125" s="268">
        <f t="shared" si="132"/>
        <v>0</v>
      </c>
      <c r="AM125" s="268">
        <f t="shared" si="133"/>
        <v>0</v>
      </c>
      <c r="AN125" s="268">
        <f t="shared" si="134"/>
        <v>0</v>
      </c>
      <c r="AO125" s="268">
        <f t="shared" si="135"/>
        <v>0</v>
      </c>
      <c r="AP125" s="268">
        <f t="shared" si="136"/>
        <v>0</v>
      </c>
      <c r="AQ125" s="268">
        <f t="shared" si="137"/>
        <v>0</v>
      </c>
      <c r="AR125" s="268">
        <f t="shared" si="138"/>
        <v>0</v>
      </c>
      <c r="AS125" s="268">
        <f t="shared" si="139"/>
        <v>0</v>
      </c>
      <c r="AT125" s="268">
        <f t="shared" si="140"/>
        <v>0</v>
      </c>
      <c r="AU125" s="120">
        <f t="shared" si="141"/>
        <v>0</v>
      </c>
      <c r="AW125" s="120">
        <f t="shared" si="142"/>
        <v>0</v>
      </c>
      <c r="AX125" s="120">
        <f t="shared" si="143"/>
        <v>0</v>
      </c>
      <c r="AY125" s="120">
        <f t="shared" si="144"/>
        <v>0</v>
      </c>
      <c r="AZ125" s="120">
        <f t="shared" si="145"/>
        <v>0</v>
      </c>
      <c r="BA125" s="120">
        <f t="shared" si="146"/>
        <v>0</v>
      </c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"/>
      <c r="BW125" s="1"/>
      <c r="BX125" s="1"/>
      <c r="BY125" s="1"/>
      <c r="BZ125" s="1"/>
    </row>
    <row r="126" spans="1:78" x14ac:dyDescent="0.15">
      <c r="A126" s="307">
        <v>13</v>
      </c>
      <c r="B126" s="84">
        <f t="shared" si="149"/>
        <v>0</v>
      </c>
      <c r="C126" s="660"/>
      <c r="D126" s="661"/>
      <c r="E126" s="661"/>
      <c r="F126" s="661"/>
      <c r="G126" s="661"/>
      <c r="H126" s="661"/>
      <c r="I126" s="661"/>
      <c r="J126" s="661"/>
      <c r="K126" s="661"/>
      <c r="L126" s="661"/>
      <c r="M126" s="661"/>
      <c r="N126" s="661"/>
      <c r="O126" s="661"/>
      <c r="P126" s="661"/>
      <c r="Q126" s="661"/>
      <c r="R126" s="394">
        <f t="shared" si="123"/>
        <v>0</v>
      </c>
      <c r="S126" s="395"/>
      <c r="T126" s="394">
        <f t="shared" si="150"/>
        <v>0</v>
      </c>
      <c r="U126" s="395"/>
      <c r="V126" s="433" t="str">
        <f t="shared" si="151"/>
        <v/>
      </c>
      <c r="W126" s="436"/>
      <c r="X126" s="437" t="str">
        <f t="shared" si="124"/>
        <v/>
      </c>
      <c r="AB126" s="266">
        <f t="shared" si="125"/>
        <v>0</v>
      </c>
      <c r="AC126" s="120">
        <f t="shared" si="147"/>
        <v>0</v>
      </c>
      <c r="AD126" s="120"/>
      <c r="AE126" s="120">
        <f t="shared" si="148"/>
        <v>0</v>
      </c>
      <c r="AF126" s="268">
        <f t="shared" si="126"/>
        <v>0</v>
      </c>
      <c r="AG126" s="268">
        <f t="shared" si="127"/>
        <v>0</v>
      </c>
      <c r="AH126" s="268">
        <f t="shared" si="128"/>
        <v>0</v>
      </c>
      <c r="AI126" s="268">
        <f t="shared" si="129"/>
        <v>0</v>
      </c>
      <c r="AJ126" s="268">
        <f t="shared" si="130"/>
        <v>0</v>
      </c>
      <c r="AK126" s="268">
        <f t="shared" si="131"/>
        <v>0</v>
      </c>
      <c r="AL126" s="268">
        <f t="shared" si="132"/>
        <v>0</v>
      </c>
      <c r="AM126" s="268">
        <f t="shared" si="133"/>
        <v>0</v>
      </c>
      <c r="AN126" s="268">
        <f t="shared" si="134"/>
        <v>0</v>
      </c>
      <c r="AO126" s="268">
        <f t="shared" si="135"/>
        <v>0</v>
      </c>
      <c r="AP126" s="268">
        <f t="shared" si="136"/>
        <v>0</v>
      </c>
      <c r="AQ126" s="268">
        <f t="shared" si="137"/>
        <v>0</v>
      </c>
      <c r="AR126" s="268">
        <f t="shared" si="138"/>
        <v>0</v>
      </c>
      <c r="AS126" s="268">
        <f t="shared" si="139"/>
        <v>0</v>
      </c>
      <c r="AT126" s="268">
        <f t="shared" si="140"/>
        <v>0</v>
      </c>
      <c r="AU126" s="120">
        <f t="shared" si="141"/>
        <v>0</v>
      </c>
      <c r="AW126" s="120">
        <f t="shared" si="142"/>
        <v>0</v>
      </c>
      <c r="AX126" s="120">
        <f t="shared" si="143"/>
        <v>0</v>
      </c>
      <c r="AY126" s="120">
        <f t="shared" si="144"/>
        <v>0</v>
      </c>
      <c r="AZ126" s="120">
        <f t="shared" si="145"/>
        <v>0</v>
      </c>
      <c r="BA126" s="120">
        <f t="shared" si="146"/>
        <v>0</v>
      </c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"/>
      <c r="BW126" s="1"/>
      <c r="BX126" s="1"/>
      <c r="BY126" s="1"/>
      <c r="BZ126" s="1"/>
    </row>
    <row r="127" spans="1:78" x14ac:dyDescent="0.15">
      <c r="A127" s="307">
        <v>14</v>
      </c>
      <c r="B127" s="84">
        <f t="shared" si="149"/>
        <v>0</v>
      </c>
      <c r="C127" s="660"/>
      <c r="D127" s="661"/>
      <c r="E127" s="661"/>
      <c r="F127" s="661"/>
      <c r="G127" s="661"/>
      <c r="H127" s="661"/>
      <c r="I127" s="661"/>
      <c r="J127" s="661"/>
      <c r="K127" s="661"/>
      <c r="L127" s="661"/>
      <c r="M127" s="661"/>
      <c r="N127" s="661"/>
      <c r="O127" s="661"/>
      <c r="P127" s="661"/>
      <c r="Q127" s="661"/>
      <c r="R127" s="394">
        <f t="shared" si="123"/>
        <v>0</v>
      </c>
      <c r="S127" s="395"/>
      <c r="T127" s="394">
        <f t="shared" si="150"/>
        <v>0</v>
      </c>
      <c r="U127" s="395"/>
      <c r="V127" s="433" t="str">
        <f t="shared" si="151"/>
        <v/>
      </c>
      <c r="W127" s="436"/>
      <c r="X127" s="437" t="str">
        <f t="shared" si="124"/>
        <v/>
      </c>
      <c r="AB127" s="266">
        <f t="shared" si="125"/>
        <v>0</v>
      </c>
      <c r="AC127" s="120">
        <f t="shared" si="147"/>
        <v>0</v>
      </c>
      <c r="AD127" s="120"/>
      <c r="AE127" s="120">
        <f t="shared" si="148"/>
        <v>0</v>
      </c>
      <c r="AF127" s="268">
        <f t="shared" si="126"/>
        <v>0</v>
      </c>
      <c r="AG127" s="268">
        <f t="shared" si="127"/>
        <v>0</v>
      </c>
      <c r="AH127" s="268">
        <f t="shared" si="128"/>
        <v>0</v>
      </c>
      <c r="AI127" s="268">
        <f t="shared" si="129"/>
        <v>0</v>
      </c>
      <c r="AJ127" s="268">
        <f t="shared" si="130"/>
        <v>0</v>
      </c>
      <c r="AK127" s="268">
        <f t="shared" si="131"/>
        <v>0</v>
      </c>
      <c r="AL127" s="268">
        <f t="shared" si="132"/>
        <v>0</v>
      </c>
      <c r="AM127" s="268">
        <f t="shared" si="133"/>
        <v>0</v>
      </c>
      <c r="AN127" s="268">
        <f t="shared" si="134"/>
        <v>0</v>
      </c>
      <c r="AO127" s="268">
        <f t="shared" si="135"/>
        <v>0</v>
      </c>
      <c r="AP127" s="268">
        <f t="shared" si="136"/>
        <v>0</v>
      </c>
      <c r="AQ127" s="268">
        <f t="shared" si="137"/>
        <v>0</v>
      </c>
      <c r="AR127" s="268">
        <f t="shared" si="138"/>
        <v>0</v>
      </c>
      <c r="AS127" s="268">
        <f t="shared" si="139"/>
        <v>0</v>
      </c>
      <c r="AT127" s="268">
        <f t="shared" si="140"/>
        <v>0</v>
      </c>
      <c r="AU127" s="120">
        <f t="shared" si="141"/>
        <v>0</v>
      </c>
      <c r="AW127" s="120">
        <f t="shared" si="142"/>
        <v>0</v>
      </c>
      <c r="AX127" s="120">
        <f t="shared" si="143"/>
        <v>0</v>
      </c>
      <c r="AY127" s="120">
        <f t="shared" si="144"/>
        <v>0</v>
      </c>
      <c r="AZ127" s="120">
        <f t="shared" si="145"/>
        <v>0</v>
      </c>
      <c r="BA127" s="120">
        <f t="shared" si="146"/>
        <v>0</v>
      </c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"/>
      <c r="BW127" s="1"/>
      <c r="BX127" s="1"/>
      <c r="BY127" s="1"/>
      <c r="BZ127" s="1"/>
    </row>
    <row r="128" spans="1:78" x14ac:dyDescent="0.15">
      <c r="A128" s="307">
        <v>15</v>
      </c>
      <c r="B128" s="84">
        <f t="shared" si="149"/>
        <v>0</v>
      </c>
      <c r="C128" s="660"/>
      <c r="D128" s="661"/>
      <c r="E128" s="661"/>
      <c r="F128" s="661"/>
      <c r="G128" s="661"/>
      <c r="H128" s="661"/>
      <c r="I128" s="661"/>
      <c r="J128" s="661"/>
      <c r="K128" s="661"/>
      <c r="L128" s="661"/>
      <c r="M128" s="661"/>
      <c r="N128" s="661"/>
      <c r="O128" s="661"/>
      <c r="P128" s="661"/>
      <c r="Q128" s="661"/>
      <c r="R128" s="394">
        <f t="shared" si="123"/>
        <v>0</v>
      </c>
      <c r="S128" s="395"/>
      <c r="T128" s="394">
        <f t="shared" si="150"/>
        <v>0</v>
      </c>
      <c r="U128" s="395"/>
      <c r="V128" s="433" t="str">
        <f t="shared" si="151"/>
        <v/>
      </c>
      <c r="W128" s="436"/>
      <c r="X128" s="437" t="str">
        <f t="shared" si="124"/>
        <v/>
      </c>
      <c r="AB128" s="266">
        <f t="shared" si="125"/>
        <v>0</v>
      </c>
      <c r="AC128" s="120">
        <f t="shared" si="147"/>
        <v>0</v>
      </c>
      <c r="AD128" s="120"/>
      <c r="AE128" s="120">
        <f t="shared" si="148"/>
        <v>0</v>
      </c>
      <c r="AF128" s="268">
        <f t="shared" si="126"/>
        <v>0</v>
      </c>
      <c r="AG128" s="268">
        <f t="shared" si="127"/>
        <v>0</v>
      </c>
      <c r="AH128" s="268">
        <f t="shared" si="128"/>
        <v>0</v>
      </c>
      <c r="AI128" s="268">
        <f t="shared" si="129"/>
        <v>0</v>
      </c>
      <c r="AJ128" s="268">
        <f t="shared" si="130"/>
        <v>0</v>
      </c>
      <c r="AK128" s="268">
        <f t="shared" si="131"/>
        <v>0</v>
      </c>
      <c r="AL128" s="268">
        <f t="shared" si="132"/>
        <v>0</v>
      </c>
      <c r="AM128" s="268">
        <f t="shared" si="133"/>
        <v>0</v>
      </c>
      <c r="AN128" s="268">
        <f t="shared" si="134"/>
        <v>0</v>
      </c>
      <c r="AO128" s="268">
        <f t="shared" si="135"/>
        <v>0</v>
      </c>
      <c r="AP128" s="268">
        <f t="shared" si="136"/>
        <v>0</v>
      </c>
      <c r="AQ128" s="268">
        <f t="shared" si="137"/>
        <v>0</v>
      </c>
      <c r="AR128" s="268">
        <f t="shared" si="138"/>
        <v>0</v>
      </c>
      <c r="AS128" s="268">
        <f t="shared" si="139"/>
        <v>0</v>
      </c>
      <c r="AT128" s="268">
        <f t="shared" si="140"/>
        <v>0</v>
      </c>
      <c r="AU128" s="120">
        <f t="shared" si="141"/>
        <v>0</v>
      </c>
      <c r="AW128" s="120">
        <f t="shared" si="142"/>
        <v>0</v>
      </c>
      <c r="AX128" s="120">
        <f t="shared" si="143"/>
        <v>0</v>
      </c>
      <c r="AY128" s="120">
        <f t="shared" si="144"/>
        <v>0</v>
      </c>
      <c r="AZ128" s="120">
        <f t="shared" si="145"/>
        <v>0</v>
      </c>
      <c r="BA128" s="120">
        <f t="shared" si="146"/>
        <v>0</v>
      </c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"/>
      <c r="BW128" s="1"/>
      <c r="BX128" s="1"/>
      <c r="BY128" s="1"/>
      <c r="BZ128" s="1"/>
    </row>
    <row r="129" spans="1:78" x14ac:dyDescent="0.15">
      <c r="A129" s="307">
        <v>16</v>
      </c>
      <c r="B129" s="84">
        <f t="shared" si="149"/>
        <v>0</v>
      </c>
      <c r="C129" s="660"/>
      <c r="D129" s="661"/>
      <c r="E129" s="661"/>
      <c r="F129" s="661"/>
      <c r="G129" s="661"/>
      <c r="H129" s="661"/>
      <c r="I129" s="661"/>
      <c r="J129" s="661"/>
      <c r="K129" s="661"/>
      <c r="L129" s="661"/>
      <c r="M129" s="661"/>
      <c r="N129" s="661"/>
      <c r="O129" s="661"/>
      <c r="P129" s="661"/>
      <c r="Q129" s="661"/>
      <c r="R129" s="394">
        <f t="shared" si="123"/>
        <v>0</v>
      </c>
      <c r="S129" s="395"/>
      <c r="T129" s="394">
        <f t="shared" si="150"/>
        <v>0</v>
      </c>
      <c r="U129" s="395"/>
      <c r="V129" s="433" t="str">
        <f t="shared" si="151"/>
        <v/>
      </c>
      <c r="W129" s="436"/>
      <c r="X129" s="437" t="str">
        <f t="shared" si="124"/>
        <v/>
      </c>
      <c r="AB129" s="266">
        <f t="shared" si="125"/>
        <v>0</v>
      </c>
      <c r="AC129" s="120">
        <f t="shared" si="147"/>
        <v>0</v>
      </c>
      <c r="AD129" s="120"/>
      <c r="AE129" s="120">
        <f t="shared" si="148"/>
        <v>0</v>
      </c>
      <c r="AF129" s="268">
        <f t="shared" si="126"/>
        <v>0</v>
      </c>
      <c r="AG129" s="268">
        <f t="shared" si="127"/>
        <v>0</v>
      </c>
      <c r="AH129" s="268">
        <f t="shared" si="128"/>
        <v>0</v>
      </c>
      <c r="AI129" s="268">
        <f t="shared" si="129"/>
        <v>0</v>
      </c>
      <c r="AJ129" s="268">
        <f t="shared" si="130"/>
        <v>0</v>
      </c>
      <c r="AK129" s="268">
        <f t="shared" si="131"/>
        <v>0</v>
      </c>
      <c r="AL129" s="268">
        <f t="shared" si="132"/>
        <v>0</v>
      </c>
      <c r="AM129" s="268">
        <f t="shared" si="133"/>
        <v>0</v>
      </c>
      <c r="AN129" s="268">
        <f t="shared" si="134"/>
        <v>0</v>
      </c>
      <c r="AO129" s="268">
        <f t="shared" si="135"/>
        <v>0</v>
      </c>
      <c r="AP129" s="268">
        <f t="shared" si="136"/>
        <v>0</v>
      </c>
      <c r="AQ129" s="268">
        <f t="shared" si="137"/>
        <v>0</v>
      </c>
      <c r="AR129" s="268">
        <f t="shared" si="138"/>
        <v>0</v>
      </c>
      <c r="AS129" s="268">
        <f t="shared" si="139"/>
        <v>0</v>
      </c>
      <c r="AT129" s="268">
        <f t="shared" si="140"/>
        <v>0</v>
      </c>
      <c r="AU129" s="120">
        <f t="shared" si="141"/>
        <v>0</v>
      </c>
      <c r="AW129" s="120">
        <f t="shared" si="142"/>
        <v>0</v>
      </c>
      <c r="AX129" s="120">
        <f t="shared" si="143"/>
        <v>0</v>
      </c>
      <c r="AY129" s="120">
        <f t="shared" si="144"/>
        <v>0</v>
      </c>
      <c r="AZ129" s="120">
        <f t="shared" si="145"/>
        <v>0</v>
      </c>
      <c r="BA129" s="120">
        <f t="shared" si="146"/>
        <v>0</v>
      </c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"/>
      <c r="BW129" s="1"/>
      <c r="BX129" s="1"/>
      <c r="BY129" s="1"/>
      <c r="BZ129" s="1"/>
    </row>
    <row r="130" spans="1:78" x14ac:dyDescent="0.15">
      <c r="A130" s="307">
        <v>17</v>
      </c>
      <c r="B130" s="84">
        <f t="shared" si="149"/>
        <v>0</v>
      </c>
      <c r="C130" s="660"/>
      <c r="D130" s="661"/>
      <c r="E130" s="661"/>
      <c r="F130" s="661"/>
      <c r="G130" s="661"/>
      <c r="H130" s="661"/>
      <c r="I130" s="661"/>
      <c r="J130" s="661"/>
      <c r="K130" s="661"/>
      <c r="L130" s="661"/>
      <c r="M130" s="661"/>
      <c r="N130" s="661"/>
      <c r="O130" s="661"/>
      <c r="P130" s="661"/>
      <c r="Q130" s="661"/>
      <c r="R130" s="394">
        <f t="shared" si="123"/>
        <v>0</v>
      </c>
      <c r="S130" s="395"/>
      <c r="T130" s="394">
        <f t="shared" si="150"/>
        <v>0</v>
      </c>
      <c r="U130" s="395"/>
      <c r="V130" s="433" t="str">
        <f t="shared" si="151"/>
        <v/>
      </c>
      <c r="W130" s="436"/>
      <c r="X130" s="437" t="str">
        <f t="shared" si="124"/>
        <v/>
      </c>
      <c r="AB130" s="266">
        <f t="shared" si="125"/>
        <v>0</v>
      </c>
      <c r="AC130" s="120">
        <f t="shared" si="147"/>
        <v>0</v>
      </c>
      <c r="AD130" s="120"/>
      <c r="AE130" s="120">
        <f t="shared" si="148"/>
        <v>0</v>
      </c>
      <c r="AF130" s="268">
        <f t="shared" si="126"/>
        <v>0</v>
      </c>
      <c r="AG130" s="268">
        <f t="shared" si="127"/>
        <v>0</v>
      </c>
      <c r="AH130" s="268">
        <f t="shared" si="128"/>
        <v>0</v>
      </c>
      <c r="AI130" s="268">
        <f t="shared" si="129"/>
        <v>0</v>
      </c>
      <c r="AJ130" s="268">
        <f t="shared" si="130"/>
        <v>0</v>
      </c>
      <c r="AK130" s="268">
        <f t="shared" si="131"/>
        <v>0</v>
      </c>
      <c r="AL130" s="268">
        <f t="shared" si="132"/>
        <v>0</v>
      </c>
      <c r="AM130" s="268">
        <f t="shared" si="133"/>
        <v>0</v>
      </c>
      <c r="AN130" s="268">
        <f t="shared" si="134"/>
        <v>0</v>
      </c>
      <c r="AO130" s="268">
        <f t="shared" si="135"/>
        <v>0</v>
      </c>
      <c r="AP130" s="268">
        <f t="shared" si="136"/>
        <v>0</v>
      </c>
      <c r="AQ130" s="268">
        <f t="shared" si="137"/>
        <v>0</v>
      </c>
      <c r="AR130" s="268">
        <f t="shared" si="138"/>
        <v>0</v>
      </c>
      <c r="AS130" s="268">
        <f t="shared" si="139"/>
        <v>0</v>
      </c>
      <c r="AT130" s="268">
        <f t="shared" si="140"/>
        <v>0</v>
      </c>
      <c r="AU130" s="120">
        <f t="shared" si="141"/>
        <v>0</v>
      </c>
      <c r="AW130" s="120">
        <f t="shared" si="142"/>
        <v>0</v>
      </c>
      <c r="AX130" s="120">
        <f t="shared" si="143"/>
        <v>0</v>
      </c>
      <c r="AY130" s="120">
        <f t="shared" si="144"/>
        <v>0</v>
      </c>
      <c r="AZ130" s="120">
        <f t="shared" si="145"/>
        <v>0</v>
      </c>
      <c r="BA130" s="120">
        <f t="shared" si="146"/>
        <v>0</v>
      </c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"/>
      <c r="BW130" s="1"/>
      <c r="BX130" s="1"/>
      <c r="BY130" s="1"/>
      <c r="BZ130" s="1"/>
    </row>
    <row r="131" spans="1:78" x14ac:dyDescent="0.15">
      <c r="A131" s="307">
        <v>18</v>
      </c>
      <c r="B131" s="84">
        <f t="shared" si="149"/>
        <v>0</v>
      </c>
      <c r="C131" s="660"/>
      <c r="D131" s="661"/>
      <c r="E131" s="661"/>
      <c r="F131" s="661"/>
      <c r="G131" s="661"/>
      <c r="H131" s="661"/>
      <c r="I131" s="661"/>
      <c r="J131" s="661"/>
      <c r="K131" s="661"/>
      <c r="L131" s="661"/>
      <c r="M131" s="661"/>
      <c r="N131" s="661"/>
      <c r="O131" s="661"/>
      <c r="P131" s="661"/>
      <c r="Q131" s="661"/>
      <c r="R131" s="394">
        <f t="shared" si="123"/>
        <v>0</v>
      </c>
      <c r="S131" s="395"/>
      <c r="T131" s="394">
        <f t="shared" si="150"/>
        <v>0</v>
      </c>
      <c r="U131" s="395"/>
      <c r="V131" s="433" t="str">
        <f t="shared" si="151"/>
        <v/>
      </c>
      <c r="W131" s="436"/>
      <c r="X131" s="437" t="str">
        <f t="shared" si="124"/>
        <v/>
      </c>
      <c r="AB131" s="266">
        <f t="shared" si="125"/>
        <v>0</v>
      </c>
      <c r="AC131" s="120">
        <f t="shared" si="147"/>
        <v>0</v>
      </c>
      <c r="AD131" s="120"/>
      <c r="AE131" s="120">
        <f t="shared" si="148"/>
        <v>0</v>
      </c>
      <c r="AF131" s="268">
        <f t="shared" si="126"/>
        <v>0</v>
      </c>
      <c r="AG131" s="268">
        <f t="shared" si="127"/>
        <v>0</v>
      </c>
      <c r="AH131" s="268">
        <f t="shared" si="128"/>
        <v>0</v>
      </c>
      <c r="AI131" s="268">
        <f t="shared" si="129"/>
        <v>0</v>
      </c>
      <c r="AJ131" s="268">
        <f t="shared" si="130"/>
        <v>0</v>
      </c>
      <c r="AK131" s="268">
        <f t="shared" si="131"/>
        <v>0</v>
      </c>
      <c r="AL131" s="268">
        <f t="shared" si="132"/>
        <v>0</v>
      </c>
      <c r="AM131" s="268">
        <f t="shared" si="133"/>
        <v>0</v>
      </c>
      <c r="AN131" s="268">
        <f t="shared" si="134"/>
        <v>0</v>
      </c>
      <c r="AO131" s="268">
        <f t="shared" si="135"/>
        <v>0</v>
      </c>
      <c r="AP131" s="268">
        <f t="shared" si="136"/>
        <v>0</v>
      </c>
      <c r="AQ131" s="268">
        <f t="shared" si="137"/>
        <v>0</v>
      </c>
      <c r="AR131" s="268">
        <f t="shared" si="138"/>
        <v>0</v>
      </c>
      <c r="AS131" s="268">
        <f t="shared" si="139"/>
        <v>0</v>
      </c>
      <c r="AT131" s="268">
        <f t="shared" si="140"/>
        <v>0</v>
      </c>
      <c r="AU131" s="120">
        <f t="shared" si="141"/>
        <v>0</v>
      </c>
      <c r="AW131" s="120">
        <f t="shared" si="142"/>
        <v>0</v>
      </c>
      <c r="AX131" s="120">
        <f t="shared" si="143"/>
        <v>0</v>
      </c>
      <c r="AY131" s="120">
        <f t="shared" si="144"/>
        <v>0</v>
      </c>
      <c r="AZ131" s="120">
        <f t="shared" si="145"/>
        <v>0</v>
      </c>
      <c r="BA131" s="120">
        <f t="shared" si="146"/>
        <v>0</v>
      </c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"/>
      <c r="BW131" s="1"/>
      <c r="BX131" s="1"/>
      <c r="BY131" s="1"/>
      <c r="BZ131" s="1"/>
    </row>
    <row r="132" spans="1:78" x14ac:dyDescent="0.15">
      <c r="A132" s="307">
        <v>19</v>
      </c>
      <c r="B132" s="84">
        <f t="shared" si="149"/>
        <v>0</v>
      </c>
      <c r="C132" s="660"/>
      <c r="D132" s="661"/>
      <c r="E132" s="661"/>
      <c r="F132" s="661"/>
      <c r="G132" s="661"/>
      <c r="H132" s="661"/>
      <c r="I132" s="661"/>
      <c r="J132" s="661"/>
      <c r="K132" s="661"/>
      <c r="L132" s="661"/>
      <c r="M132" s="661"/>
      <c r="N132" s="661"/>
      <c r="O132" s="661"/>
      <c r="P132" s="661"/>
      <c r="Q132" s="661"/>
      <c r="R132" s="394">
        <f t="shared" si="123"/>
        <v>0</v>
      </c>
      <c r="S132" s="395"/>
      <c r="T132" s="394">
        <f t="shared" si="150"/>
        <v>0</v>
      </c>
      <c r="U132" s="395"/>
      <c r="V132" s="433" t="str">
        <f t="shared" si="151"/>
        <v/>
      </c>
      <c r="W132" s="436"/>
      <c r="X132" s="437" t="str">
        <f t="shared" si="124"/>
        <v/>
      </c>
      <c r="AB132" s="266">
        <f t="shared" si="125"/>
        <v>0</v>
      </c>
      <c r="AC132" s="120">
        <f t="shared" si="147"/>
        <v>0</v>
      </c>
      <c r="AD132" s="120"/>
      <c r="AE132" s="120">
        <f t="shared" si="148"/>
        <v>0</v>
      </c>
      <c r="AF132" s="268">
        <f t="shared" si="126"/>
        <v>0</v>
      </c>
      <c r="AG132" s="268">
        <f t="shared" si="127"/>
        <v>0</v>
      </c>
      <c r="AH132" s="268">
        <f t="shared" si="128"/>
        <v>0</v>
      </c>
      <c r="AI132" s="268">
        <f t="shared" si="129"/>
        <v>0</v>
      </c>
      <c r="AJ132" s="268">
        <f t="shared" si="130"/>
        <v>0</v>
      </c>
      <c r="AK132" s="268">
        <f t="shared" si="131"/>
        <v>0</v>
      </c>
      <c r="AL132" s="268">
        <f t="shared" si="132"/>
        <v>0</v>
      </c>
      <c r="AM132" s="268">
        <f t="shared" si="133"/>
        <v>0</v>
      </c>
      <c r="AN132" s="268">
        <f t="shared" si="134"/>
        <v>0</v>
      </c>
      <c r="AO132" s="268">
        <f t="shared" si="135"/>
        <v>0</v>
      </c>
      <c r="AP132" s="268">
        <f t="shared" si="136"/>
        <v>0</v>
      </c>
      <c r="AQ132" s="268">
        <f t="shared" si="137"/>
        <v>0</v>
      </c>
      <c r="AR132" s="268">
        <f t="shared" si="138"/>
        <v>0</v>
      </c>
      <c r="AS132" s="268">
        <f t="shared" si="139"/>
        <v>0</v>
      </c>
      <c r="AT132" s="268">
        <f t="shared" si="140"/>
        <v>0</v>
      </c>
      <c r="AU132" s="120">
        <f t="shared" si="141"/>
        <v>0</v>
      </c>
      <c r="AW132" s="120">
        <f t="shared" si="142"/>
        <v>0</v>
      </c>
      <c r="AX132" s="120">
        <f t="shared" si="143"/>
        <v>0</v>
      </c>
      <c r="AY132" s="120">
        <f t="shared" si="144"/>
        <v>0</v>
      </c>
      <c r="AZ132" s="120">
        <f t="shared" si="145"/>
        <v>0</v>
      </c>
      <c r="BA132" s="120">
        <f t="shared" si="146"/>
        <v>0</v>
      </c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"/>
      <c r="BW132" s="1"/>
      <c r="BX132" s="1"/>
      <c r="BY132" s="1"/>
      <c r="BZ132" s="1"/>
    </row>
    <row r="133" spans="1:78" x14ac:dyDescent="0.15">
      <c r="A133" s="307">
        <v>20</v>
      </c>
      <c r="B133" s="84">
        <f t="shared" si="149"/>
        <v>0</v>
      </c>
      <c r="C133" s="660"/>
      <c r="D133" s="661"/>
      <c r="E133" s="661"/>
      <c r="F133" s="661"/>
      <c r="G133" s="661"/>
      <c r="H133" s="661"/>
      <c r="I133" s="661"/>
      <c r="J133" s="661"/>
      <c r="K133" s="661"/>
      <c r="L133" s="661"/>
      <c r="M133" s="661"/>
      <c r="N133" s="661"/>
      <c r="O133" s="661"/>
      <c r="P133" s="661"/>
      <c r="Q133" s="661"/>
      <c r="R133" s="394">
        <f t="shared" si="123"/>
        <v>0</v>
      </c>
      <c r="S133" s="395"/>
      <c r="T133" s="394">
        <f t="shared" si="150"/>
        <v>0</v>
      </c>
      <c r="U133" s="395"/>
      <c r="V133" s="433" t="str">
        <f t="shared" si="151"/>
        <v/>
      </c>
      <c r="W133" s="436"/>
      <c r="X133" s="437" t="str">
        <f t="shared" si="124"/>
        <v/>
      </c>
      <c r="AB133" s="266">
        <f t="shared" si="125"/>
        <v>0</v>
      </c>
      <c r="AC133" s="120">
        <f t="shared" si="147"/>
        <v>0</v>
      </c>
      <c r="AD133" s="120"/>
      <c r="AE133" s="120">
        <f t="shared" si="148"/>
        <v>0</v>
      </c>
      <c r="AF133" s="268">
        <f t="shared" si="126"/>
        <v>0</v>
      </c>
      <c r="AG133" s="268">
        <f t="shared" si="127"/>
        <v>0</v>
      </c>
      <c r="AH133" s="268">
        <f t="shared" si="128"/>
        <v>0</v>
      </c>
      <c r="AI133" s="268">
        <f t="shared" si="129"/>
        <v>0</v>
      </c>
      <c r="AJ133" s="268">
        <f t="shared" si="130"/>
        <v>0</v>
      </c>
      <c r="AK133" s="268">
        <f t="shared" si="131"/>
        <v>0</v>
      </c>
      <c r="AL133" s="268">
        <f t="shared" si="132"/>
        <v>0</v>
      </c>
      <c r="AM133" s="268">
        <f t="shared" si="133"/>
        <v>0</v>
      </c>
      <c r="AN133" s="268">
        <f t="shared" si="134"/>
        <v>0</v>
      </c>
      <c r="AO133" s="268">
        <f t="shared" si="135"/>
        <v>0</v>
      </c>
      <c r="AP133" s="268">
        <f t="shared" si="136"/>
        <v>0</v>
      </c>
      <c r="AQ133" s="268">
        <f t="shared" si="137"/>
        <v>0</v>
      </c>
      <c r="AR133" s="268">
        <f t="shared" si="138"/>
        <v>0</v>
      </c>
      <c r="AS133" s="268">
        <f t="shared" si="139"/>
        <v>0</v>
      </c>
      <c r="AT133" s="268">
        <f t="shared" si="140"/>
        <v>0</v>
      </c>
      <c r="AU133" s="120">
        <f t="shared" si="141"/>
        <v>0</v>
      </c>
      <c r="AW133" s="120">
        <f t="shared" si="142"/>
        <v>0</v>
      </c>
      <c r="AX133" s="120">
        <f t="shared" si="143"/>
        <v>0</v>
      </c>
      <c r="AY133" s="120">
        <f t="shared" si="144"/>
        <v>0</v>
      </c>
      <c r="AZ133" s="120">
        <f t="shared" si="145"/>
        <v>0</v>
      </c>
      <c r="BA133" s="120">
        <f t="shared" si="146"/>
        <v>0</v>
      </c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"/>
      <c r="BW133" s="1"/>
      <c r="BX133" s="1"/>
      <c r="BY133" s="1"/>
      <c r="BZ133" s="1"/>
    </row>
    <row r="134" spans="1:78" x14ac:dyDescent="0.15">
      <c r="A134" s="307">
        <v>21</v>
      </c>
      <c r="B134" s="84">
        <f t="shared" si="149"/>
        <v>0</v>
      </c>
      <c r="C134" s="660"/>
      <c r="D134" s="661"/>
      <c r="E134" s="661"/>
      <c r="F134" s="661"/>
      <c r="G134" s="661"/>
      <c r="H134" s="661"/>
      <c r="I134" s="661"/>
      <c r="J134" s="661"/>
      <c r="K134" s="661"/>
      <c r="L134" s="661"/>
      <c r="M134" s="661"/>
      <c r="N134" s="661"/>
      <c r="O134" s="661"/>
      <c r="P134" s="661"/>
      <c r="Q134" s="661"/>
      <c r="R134" s="394">
        <f t="shared" si="123"/>
        <v>0</v>
      </c>
      <c r="S134" s="395"/>
      <c r="T134" s="394">
        <f t="shared" si="150"/>
        <v>0</v>
      </c>
      <c r="U134" s="395"/>
      <c r="V134" s="433" t="str">
        <f t="shared" si="151"/>
        <v/>
      </c>
      <c r="W134" s="436"/>
      <c r="X134" s="437" t="str">
        <f t="shared" si="124"/>
        <v/>
      </c>
      <c r="AB134" s="266">
        <f t="shared" si="125"/>
        <v>0</v>
      </c>
      <c r="AC134" s="120">
        <f t="shared" si="147"/>
        <v>0</v>
      </c>
      <c r="AD134" s="120"/>
      <c r="AE134" s="120">
        <f t="shared" si="148"/>
        <v>0</v>
      </c>
      <c r="AF134" s="268">
        <f t="shared" si="126"/>
        <v>0</v>
      </c>
      <c r="AG134" s="268">
        <f t="shared" si="127"/>
        <v>0</v>
      </c>
      <c r="AH134" s="268">
        <f t="shared" si="128"/>
        <v>0</v>
      </c>
      <c r="AI134" s="268">
        <f t="shared" si="129"/>
        <v>0</v>
      </c>
      <c r="AJ134" s="268">
        <f t="shared" si="130"/>
        <v>0</v>
      </c>
      <c r="AK134" s="268">
        <f t="shared" si="131"/>
        <v>0</v>
      </c>
      <c r="AL134" s="268">
        <f t="shared" si="132"/>
        <v>0</v>
      </c>
      <c r="AM134" s="268">
        <f t="shared" si="133"/>
        <v>0</v>
      </c>
      <c r="AN134" s="268">
        <f t="shared" si="134"/>
        <v>0</v>
      </c>
      <c r="AO134" s="268">
        <f t="shared" si="135"/>
        <v>0</v>
      </c>
      <c r="AP134" s="268">
        <f t="shared" si="136"/>
        <v>0</v>
      </c>
      <c r="AQ134" s="268">
        <f t="shared" si="137"/>
        <v>0</v>
      </c>
      <c r="AR134" s="268">
        <f t="shared" si="138"/>
        <v>0</v>
      </c>
      <c r="AS134" s="268">
        <f t="shared" si="139"/>
        <v>0</v>
      </c>
      <c r="AT134" s="268">
        <f t="shared" si="140"/>
        <v>0</v>
      </c>
      <c r="AU134" s="120">
        <f t="shared" si="141"/>
        <v>0</v>
      </c>
      <c r="AW134" s="120">
        <f t="shared" si="142"/>
        <v>0</v>
      </c>
      <c r="AX134" s="120">
        <f t="shared" si="143"/>
        <v>0</v>
      </c>
      <c r="AY134" s="120">
        <f t="shared" si="144"/>
        <v>0</v>
      </c>
      <c r="AZ134" s="120">
        <f t="shared" si="145"/>
        <v>0</v>
      </c>
      <c r="BA134" s="120">
        <f t="shared" si="146"/>
        <v>0</v>
      </c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"/>
      <c r="BW134" s="1"/>
      <c r="BX134" s="1"/>
      <c r="BY134" s="1"/>
      <c r="BZ134" s="1"/>
    </row>
    <row r="135" spans="1:78" x14ac:dyDescent="0.15">
      <c r="A135" s="307">
        <v>22</v>
      </c>
      <c r="B135" s="84">
        <f t="shared" si="149"/>
        <v>0</v>
      </c>
      <c r="C135" s="660"/>
      <c r="D135" s="661"/>
      <c r="E135" s="661"/>
      <c r="F135" s="661"/>
      <c r="G135" s="661"/>
      <c r="H135" s="661"/>
      <c r="I135" s="661"/>
      <c r="J135" s="661"/>
      <c r="K135" s="661"/>
      <c r="L135" s="661"/>
      <c r="M135" s="661"/>
      <c r="N135" s="661"/>
      <c r="O135" s="661"/>
      <c r="P135" s="661"/>
      <c r="Q135" s="661"/>
      <c r="R135" s="394">
        <f t="shared" si="123"/>
        <v>0</v>
      </c>
      <c r="S135" s="395"/>
      <c r="T135" s="394">
        <f t="shared" si="150"/>
        <v>0</v>
      </c>
      <c r="U135" s="395"/>
      <c r="V135" s="433" t="str">
        <f t="shared" si="151"/>
        <v/>
      </c>
      <c r="W135" s="436"/>
      <c r="X135" s="437" t="str">
        <f t="shared" si="124"/>
        <v/>
      </c>
      <c r="AB135" s="266">
        <f t="shared" si="125"/>
        <v>0</v>
      </c>
      <c r="AC135" s="120">
        <f t="shared" si="147"/>
        <v>0</v>
      </c>
      <c r="AD135" s="120"/>
      <c r="AE135" s="120">
        <f t="shared" si="148"/>
        <v>0</v>
      </c>
      <c r="AF135" s="268">
        <f t="shared" si="126"/>
        <v>0</v>
      </c>
      <c r="AG135" s="268">
        <f t="shared" si="127"/>
        <v>0</v>
      </c>
      <c r="AH135" s="268">
        <f t="shared" si="128"/>
        <v>0</v>
      </c>
      <c r="AI135" s="268">
        <f t="shared" si="129"/>
        <v>0</v>
      </c>
      <c r="AJ135" s="268">
        <f t="shared" si="130"/>
        <v>0</v>
      </c>
      <c r="AK135" s="268">
        <f t="shared" si="131"/>
        <v>0</v>
      </c>
      <c r="AL135" s="268">
        <f t="shared" si="132"/>
        <v>0</v>
      </c>
      <c r="AM135" s="268">
        <f t="shared" si="133"/>
        <v>0</v>
      </c>
      <c r="AN135" s="268">
        <f t="shared" si="134"/>
        <v>0</v>
      </c>
      <c r="AO135" s="268">
        <f t="shared" si="135"/>
        <v>0</v>
      </c>
      <c r="AP135" s="268">
        <f t="shared" si="136"/>
        <v>0</v>
      </c>
      <c r="AQ135" s="268">
        <f t="shared" si="137"/>
        <v>0</v>
      </c>
      <c r="AR135" s="268">
        <f t="shared" si="138"/>
        <v>0</v>
      </c>
      <c r="AS135" s="268">
        <f t="shared" si="139"/>
        <v>0</v>
      </c>
      <c r="AT135" s="268">
        <f t="shared" si="140"/>
        <v>0</v>
      </c>
      <c r="AU135" s="120">
        <f t="shared" si="141"/>
        <v>0</v>
      </c>
      <c r="AW135" s="120">
        <f t="shared" si="142"/>
        <v>0</v>
      </c>
      <c r="AX135" s="120">
        <f t="shared" si="143"/>
        <v>0</v>
      </c>
      <c r="AY135" s="120">
        <f t="shared" si="144"/>
        <v>0</v>
      </c>
      <c r="AZ135" s="120">
        <f t="shared" si="145"/>
        <v>0</v>
      </c>
      <c r="BA135" s="120">
        <f t="shared" si="146"/>
        <v>0</v>
      </c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"/>
      <c r="BW135" s="1"/>
      <c r="BX135" s="1"/>
      <c r="BY135" s="1"/>
      <c r="BZ135" s="1"/>
    </row>
    <row r="136" spans="1:78" x14ac:dyDescent="0.15">
      <c r="A136" s="307">
        <v>23</v>
      </c>
      <c r="B136" s="84">
        <f t="shared" si="149"/>
        <v>0</v>
      </c>
      <c r="C136" s="660"/>
      <c r="D136" s="661"/>
      <c r="E136" s="661"/>
      <c r="F136" s="661"/>
      <c r="G136" s="661"/>
      <c r="H136" s="661"/>
      <c r="I136" s="661"/>
      <c r="J136" s="661"/>
      <c r="K136" s="661"/>
      <c r="L136" s="661"/>
      <c r="M136" s="661"/>
      <c r="N136" s="661"/>
      <c r="O136" s="661"/>
      <c r="P136" s="661"/>
      <c r="Q136" s="661"/>
      <c r="R136" s="394">
        <f t="shared" si="123"/>
        <v>0</v>
      </c>
      <c r="S136" s="395"/>
      <c r="T136" s="394">
        <f t="shared" si="150"/>
        <v>0</v>
      </c>
      <c r="U136" s="395"/>
      <c r="V136" s="433" t="str">
        <f t="shared" si="151"/>
        <v/>
      </c>
      <c r="W136" s="436"/>
      <c r="X136" s="437" t="str">
        <f t="shared" si="124"/>
        <v/>
      </c>
      <c r="AB136" s="266">
        <f t="shared" si="125"/>
        <v>0</v>
      </c>
      <c r="AC136" s="120">
        <f t="shared" si="147"/>
        <v>0</v>
      </c>
      <c r="AD136" s="120"/>
      <c r="AE136" s="120">
        <f t="shared" si="148"/>
        <v>0</v>
      </c>
      <c r="AF136" s="268">
        <f t="shared" si="126"/>
        <v>0</v>
      </c>
      <c r="AG136" s="268">
        <f t="shared" si="127"/>
        <v>0</v>
      </c>
      <c r="AH136" s="268">
        <f t="shared" si="128"/>
        <v>0</v>
      </c>
      <c r="AI136" s="268">
        <f t="shared" si="129"/>
        <v>0</v>
      </c>
      <c r="AJ136" s="268">
        <f t="shared" si="130"/>
        <v>0</v>
      </c>
      <c r="AK136" s="268">
        <f t="shared" si="131"/>
        <v>0</v>
      </c>
      <c r="AL136" s="268">
        <f t="shared" si="132"/>
        <v>0</v>
      </c>
      <c r="AM136" s="268">
        <f t="shared" si="133"/>
        <v>0</v>
      </c>
      <c r="AN136" s="268">
        <f t="shared" si="134"/>
        <v>0</v>
      </c>
      <c r="AO136" s="268">
        <f t="shared" si="135"/>
        <v>0</v>
      </c>
      <c r="AP136" s="268">
        <f t="shared" si="136"/>
        <v>0</v>
      </c>
      <c r="AQ136" s="268">
        <f t="shared" si="137"/>
        <v>0</v>
      </c>
      <c r="AR136" s="268">
        <f t="shared" si="138"/>
        <v>0</v>
      </c>
      <c r="AS136" s="268">
        <f t="shared" si="139"/>
        <v>0</v>
      </c>
      <c r="AT136" s="268">
        <f t="shared" si="140"/>
        <v>0</v>
      </c>
      <c r="AU136" s="120">
        <f t="shared" si="141"/>
        <v>0</v>
      </c>
      <c r="AW136" s="120">
        <f t="shared" si="142"/>
        <v>0</v>
      </c>
      <c r="AX136" s="120">
        <f t="shared" si="143"/>
        <v>0</v>
      </c>
      <c r="AY136" s="120">
        <f t="shared" si="144"/>
        <v>0</v>
      </c>
      <c r="AZ136" s="120">
        <f t="shared" si="145"/>
        <v>0</v>
      </c>
      <c r="BA136" s="120">
        <f t="shared" si="146"/>
        <v>0</v>
      </c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"/>
      <c r="BW136" s="1"/>
      <c r="BX136" s="1"/>
      <c r="BY136" s="1"/>
      <c r="BZ136" s="1"/>
    </row>
    <row r="137" spans="1:78" x14ac:dyDescent="0.15">
      <c r="A137" s="307">
        <v>24</v>
      </c>
      <c r="B137" s="84">
        <f t="shared" si="149"/>
        <v>0</v>
      </c>
      <c r="C137" s="660"/>
      <c r="D137" s="661"/>
      <c r="E137" s="661"/>
      <c r="F137" s="661"/>
      <c r="G137" s="661"/>
      <c r="H137" s="661"/>
      <c r="I137" s="661"/>
      <c r="J137" s="661"/>
      <c r="K137" s="661"/>
      <c r="L137" s="661"/>
      <c r="M137" s="661"/>
      <c r="N137" s="661"/>
      <c r="O137" s="661"/>
      <c r="P137" s="661"/>
      <c r="Q137" s="661"/>
      <c r="R137" s="394">
        <f t="shared" si="123"/>
        <v>0</v>
      </c>
      <c r="S137" s="395"/>
      <c r="T137" s="394">
        <f t="shared" si="150"/>
        <v>0</v>
      </c>
      <c r="U137" s="395"/>
      <c r="V137" s="433" t="str">
        <f t="shared" si="151"/>
        <v/>
      </c>
      <c r="W137" s="436"/>
      <c r="X137" s="437" t="str">
        <f t="shared" si="124"/>
        <v/>
      </c>
      <c r="AB137" s="266">
        <f t="shared" si="125"/>
        <v>0</v>
      </c>
      <c r="AC137" s="120">
        <f t="shared" si="147"/>
        <v>0</v>
      </c>
      <c r="AD137" s="120"/>
      <c r="AE137" s="120">
        <f t="shared" si="148"/>
        <v>0</v>
      </c>
      <c r="AF137" s="268">
        <f t="shared" si="126"/>
        <v>0</v>
      </c>
      <c r="AG137" s="268">
        <f t="shared" si="127"/>
        <v>0</v>
      </c>
      <c r="AH137" s="268">
        <f t="shared" si="128"/>
        <v>0</v>
      </c>
      <c r="AI137" s="268">
        <f t="shared" si="129"/>
        <v>0</v>
      </c>
      <c r="AJ137" s="268">
        <f t="shared" si="130"/>
        <v>0</v>
      </c>
      <c r="AK137" s="268">
        <f t="shared" si="131"/>
        <v>0</v>
      </c>
      <c r="AL137" s="268">
        <f t="shared" si="132"/>
        <v>0</v>
      </c>
      <c r="AM137" s="268">
        <f t="shared" si="133"/>
        <v>0</v>
      </c>
      <c r="AN137" s="268">
        <f t="shared" si="134"/>
        <v>0</v>
      </c>
      <c r="AO137" s="268">
        <f t="shared" si="135"/>
        <v>0</v>
      </c>
      <c r="AP137" s="268">
        <f t="shared" si="136"/>
        <v>0</v>
      </c>
      <c r="AQ137" s="268">
        <f t="shared" si="137"/>
        <v>0</v>
      </c>
      <c r="AR137" s="268">
        <f t="shared" si="138"/>
        <v>0</v>
      </c>
      <c r="AS137" s="268">
        <f t="shared" si="139"/>
        <v>0</v>
      </c>
      <c r="AT137" s="268">
        <f t="shared" si="140"/>
        <v>0</v>
      </c>
      <c r="AU137" s="120">
        <f t="shared" si="141"/>
        <v>0</v>
      </c>
      <c r="AW137" s="120">
        <f t="shared" si="142"/>
        <v>0</v>
      </c>
      <c r="AX137" s="120">
        <f t="shared" si="143"/>
        <v>0</v>
      </c>
      <c r="AY137" s="120">
        <f t="shared" si="144"/>
        <v>0</v>
      </c>
      <c r="AZ137" s="120">
        <f t="shared" si="145"/>
        <v>0</v>
      </c>
      <c r="BA137" s="120">
        <f t="shared" si="146"/>
        <v>0</v>
      </c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"/>
      <c r="BW137" s="1"/>
      <c r="BX137" s="1"/>
      <c r="BY137" s="1"/>
      <c r="BZ137" s="1"/>
    </row>
    <row r="138" spans="1:78" x14ac:dyDescent="0.15">
      <c r="A138" s="307">
        <v>25</v>
      </c>
      <c r="B138" s="84">
        <f t="shared" si="149"/>
        <v>0</v>
      </c>
      <c r="C138" s="660"/>
      <c r="D138" s="661"/>
      <c r="E138" s="661"/>
      <c r="F138" s="661"/>
      <c r="G138" s="661"/>
      <c r="H138" s="661"/>
      <c r="I138" s="661"/>
      <c r="J138" s="661"/>
      <c r="K138" s="661"/>
      <c r="L138" s="661"/>
      <c r="M138" s="661"/>
      <c r="N138" s="661"/>
      <c r="O138" s="661"/>
      <c r="P138" s="661"/>
      <c r="Q138" s="661"/>
      <c r="R138" s="394">
        <f t="shared" si="123"/>
        <v>0</v>
      </c>
      <c r="S138" s="395"/>
      <c r="T138" s="394">
        <f t="shared" si="150"/>
        <v>0</v>
      </c>
      <c r="U138" s="395"/>
      <c r="V138" s="433" t="str">
        <f t="shared" si="151"/>
        <v/>
      </c>
      <c r="W138" s="436"/>
      <c r="X138" s="437" t="str">
        <f t="shared" si="124"/>
        <v/>
      </c>
      <c r="AB138" s="266">
        <f t="shared" si="125"/>
        <v>0</v>
      </c>
      <c r="AC138" s="120">
        <f t="shared" si="147"/>
        <v>0</v>
      </c>
      <c r="AD138" s="120"/>
      <c r="AE138" s="120">
        <f t="shared" si="148"/>
        <v>0</v>
      </c>
      <c r="AF138" s="268">
        <f t="shared" si="126"/>
        <v>0</v>
      </c>
      <c r="AG138" s="268">
        <f t="shared" si="127"/>
        <v>0</v>
      </c>
      <c r="AH138" s="268">
        <f t="shared" si="128"/>
        <v>0</v>
      </c>
      <c r="AI138" s="268">
        <f t="shared" si="129"/>
        <v>0</v>
      </c>
      <c r="AJ138" s="268">
        <f t="shared" si="130"/>
        <v>0</v>
      </c>
      <c r="AK138" s="268">
        <f t="shared" si="131"/>
        <v>0</v>
      </c>
      <c r="AL138" s="268">
        <f t="shared" si="132"/>
        <v>0</v>
      </c>
      <c r="AM138" s="268">
        <f t="shared" si="133"/>
        <v>0</v>
      </c>
      <c r="AN138" s="268">
        <f t="shared" si="134"/>
        <v>0</v>
      </c>
      <c r="AO138" s="268">
        <f t="shared" si="135"/>
        <v>0</v>
      </c>
      <c r="AP138" s="268">
        <f t="shared" si="136"/>
        <v>0</v>
      </c>
      <c r="AQ138" s="268">
        <f t="shared" si="137"/>
        <v>0</v>
      </c>
      <c r="AR138" s="268">
        <f t="shared" si="138"/>
        <v>0</v>
      </c>
      <c r="AS138" s="268">
        <f t="shared" si="139"/>
        <v>0</v>
      </c>
      <c r="AT138" s="268">
        <f t="shared" si="140"/>
        <v>0</v>
      </c>
      <c r="AU138" s="120">
        <f t="shared" si="141"/>
        <v>0</v>
      </c>
      <c r="AW138" s="120">
        <f t="shared" si="142"/>
        <v>0</v>
      </c>
      <c r="AX138" s="120">
        <f t="shared" si="143"/>
        <v>0</v>
      </c>
      <c r="AY138" s="120">
        <f t="shared" si="144"/>
        <v>0</v>
      </c>
      <c r="AZ138" s="120">
        <f t="shared" si="145"/>
        <v>0</v>
      </c>
      <c r="BA138" s="120">
        <f t="shared" si="146"/>
        <v>0</v>
      </c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"/>
      <c r="BW138" s="1"/>
      <c r="BX138" s="1"/>
      <c r="BY138" s="1"/>
      <c r="BZ138" s="1"/>
    </row>
    <row r="139" spans="1:78" x14ac:dyDescent="0.15">
      <c r="A139" s="307">
        <v>26</v>
      </c>
      <c r="B139" s="84">
        <f t="shared" si="149"/>
        <v>0</v>
      </c>
      <c r="C139" s="660"/>
      <c r="D139" s="661"/>
      <c r="E139" s="661"/>
      <c r="F139" s="661"/>
      <c r="G139" s="661"/>
      <c r="H139" s="661"/>
      <c r="I139" s="661"/>
      <c r="J139" s="661"/>
      <c r="K139" s="661"/>
      <c r="L139" s="661"/>
      <c r="M139" s="661"/>
      <c r="N139" s="661"/>
      <c r="O139" s="661"/>
      <c r="P139" s="661"/>
      <c r="Q139" s="661"/>
      <c r="R139" s="394">
        <f t="shared" si="123"/>
        <v>0</v>
      </c>
      <c r="S139" s="395"/>
      <c r="T139" s="394">
        <f t="shared" si="150"/>
        <v>0</v>
      </c>
      <c r="U139" s="395"/>
      <c r="V139" s="433" t="str">
        <f t="shared" si="151"/>
        <v/>
      </c>
      <c r="W139" s="436"/>
      <c r="X139" s="437" t="str">
        <f t="shared" si="124"/>
        <v/>
      </c>
      <c r="AB139" s="266">
        <f t="shared" si="125"/>
        <v>0</v>
      </c>
      <c r="AC139" s="120">
        <f t="shared" si="147"/>
        <v>0</v>
      </c>
      <c r="AD139" s="120"/>
      <c r="AE139" s="120">
        <f t="shared" si="148"/>
        <v>0</v>
      </c>
      <c r="AF139" s="268">
        <f t="shared" si="126"/>
        <v>0</v>
      </c>
      <c r="AG139" s="268">
        <f t="shared" si="127"/>
        <v>0</v>
      </c>
      <c r="AH139" s="268">
        <f t="shared" si="128"/>
        <v>0</v>
      </c>
      <c r="AI139" s="268">
        <f t="shared" si="129"/>
        <v>0</v>
      </c>
      <c r="AJ139" s="268">
        <f t="shared" si="130"/>
        <v>0</v>
      </c>
      <c r="AK139" s="268">
        <f t="shared" si="131"/>
        <v>0</v>
      </c>
      <c r="AL139" s="268">
        <f t="shared" si="132"/>
        <v>0</v>
      </c>
      <c r="AM139" s="268">
        <f t="shared" si="133"/>
        <v>0</v>
      </c>
      <c r="AN139" s="268">
        <f t="shared" si="134"/>
        <v>0</v>
      </c>
      <c r="AO139" s="268">
        <f t="shared" si="135"/>
        <v>0</v>
      </c>
      <c r="AP139" s="268">
        <f t="shared" si="136"/>
        <v>0</v>
      </c>
      <c r="AQ139" s="268">
        <f t="shared" si="137"/>
        <v>0</v>
      </c>
      <c r="AR139" s="268">
        <f t="shared" si="138"/>
        <v>0</v>
      </c>
      <c r="AS139" s="268">
        <f t="shared" si="139"/>
        <v>0</v>
      </c>
      <c r="AT139" s="268">
        <f t="shared" si="140"/>
        <v>0</v>
      </c>
      <c r="AU139" s="120">
        <f t="shared" si="141"/>
        <v>0</v>
      </c>
      <c r="AW139" s="120">
        <f t="shared" si="142"/>
        <v>0</v>
      </c>
      <c r="AX139" s="120">
        <f t="shared" si="143"/>
        <v>0</v>
      </c>
      <c r="AY139" s="120">
        <f t="shared" si="144"/>
        <v>0</v>
      </c>
      <c r="AZ139" s="120">
        <f t="shared" si="145"/>
        <v>0</v>
      </c>
      <c r="BA139" s="120">
        <f t="shared" si="146"/>
        <v>0</v>
      </c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"/>
      <c r="BW139" s="1"/>
      <c r="BX139" s="1"/>
      <c r="BY139" s="1"/>
      <c r="BZ139" s="1"/>
    </row>
    <row r="140" spans="1:78" x14ac:dyDescent="0.15">
      <c r="A140" s="307">
        <v>27</v>
      </c>
      <c r="B140" s="84">
        <f t="shared" si="149"/>
        <v>0</v>
      </c>
      <c r="C140" s="660"/>
      <c r="D140" s="661"/>
      <c r="E140" s="661"/>
      <c r="F140" s="661"/>
      <c r="G140" s="661"/>
      <c r="H140" s="661"/>
      <c r="I140" s="661"/>
      <c r="J140" s="661"/>
      <c r="K140" s="661"/>
      <c r="L140" s="661"/>
      <c r="M140" s="661"/>
      <c r="N140" s="661"/>
      <c r="O140" s="661"/>
      <c r="P140" s="661"/>
      <c r="Q140" s="661"/>
      <c r="R140" s="394">
        <f t="shared" si="123"/>
        <v>0</v>
      </c>
      <c r="S140" s="395"/>
      <c r="T140" s="394">
        <f t="shared" si="150"/>
        <v>0</v>
      </c>
      <c r="U140" s="395"/>
      <c r="V140" s="433" t="str">
        <f t="shared" si="151"/>
        <v/>
      </c>
      <c r="W140" s="436"/>
      <c r="X140" s="437" t="str">
        <f t="shared" si="124"/>
        <v/>
      </c>
      <c r="AB140" s="266">
        <f t="shared" si="125"/>
        <v>0</v>
      </c>
      <c r="AC140" s="120">
        <f t="shared" si="147"/>
        <v>0</v>
      </c>
      <c r="AD140" s="120"/>
      <c r="AE140" s="120">
        <f t="shared" si="148"/>
        <v>0</v>
      </c>
      <c r="AF140" s="268">
        <f t="shared" si="126"/>
        <v>0</v>
      </c>
      <c r="AG140" s="268">
        <f t="shared" si="127"/>
        <v>0</v>
      </c>
      <c r="AH140" s="268">
        <f t="shared" si="128"/>
        <v>0</v>
      </c>
      <c r="AI140" s="268">
        <f t="shared" si="129"/>
        <v>0</v>
      </c>
      <c r="AJ140" s="268">
        <f t="shared" si="130"/>
        <v>0</v>
      </c>
      <c r="AK140" s="268">
        <f t="shared" si="131"/>
        <v>0</v>
      </c>
      <c r="AL140" s="268">
        <f t="shared" si="132"/>
        <v>0</v>
      </c>
      <c r="AM140" s="268">
        <f t="shared" si="133"/>
        <v>0</v>
      </c>
      <c r="AN140" s="268">
        <f t="shared" si="134"/>
        <v>0</v>
      </c>
      <c r="AO140" s="268">
        <f t="shared" si="135"/>
        <v>0</v>
      </c>
      <c r="AP140" s="268">
        <f t="shared" si="136"/>
        <v>0</v>
      </c>
      <c r="AQ140" s="268">
        <f t="shared" si="137"/>
        <v>0</v>
      </c>
      <c r="AR140" s="268">
        <f t="shared" si="138"/>
        <v>0</v>
      </c>
      <c r="AS140" s="268">
        <f t="shared" si="139"/>
        <v>0</v>
      </c>
      <c r="AT140" s="268">
        <f t="shared" si="140"/>
        <v>0</v>
      </c>
      <c r="AU140" s="120">
        <f t="shared" si="141"/>
        <v>0</v>
      </c>
      <c r="AW140" s="120">
        <f t="shared" si="142"/>
        <v>0</v>
      </c>
      <c r="AX140" s="120">
        <f t="shared" si="143"/>
        <v>0</v>
      </c>
      <c r="AY140" s="120">
        <f t="shared" si="144"/>
        <v>0</v>
      </c>
      <c r="AZ140" s="120">
        <f t="shared" si="145"/>
        <v>0</v>
      </c>
      <c r="BA140" s="120">
        <f t="shared" si="146"/>
        <v>0</v>
      </c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"/>
      <c r="BW140" s="1"/>
      <c r="BX140" s="1"/>
      <c r="BY140" s="1"/>
      <c r="BZ140" s="1"/>
    </row>
    <row r="141" spans="1:78" x14ac:dyDescent="0.15">
      <c r="A141" s="307">
        <v>28</v>
      </c>
      <c r="B141" s="84">
        <f t="shared" si="149"/>
        <v>0</v>
      </c>
      <c r="C141" s="660"/>
      <c r="D141" s="661"/>
      <c r="E141" s="661"/>
      <c r="F141" s="661"/>
      <c r="G141" s="661"/>
      <c r="H141" s="661"/>
      <c r="I141" s="661"/>
      <c r="J141" s="661"/>
      <c r="K141" s="661"/>
      <c r="L141" s="661"/>
      <c r="M141" s="661"/>
      <c r="N141" s="661"/>
      <c r="O141" s="661"/>
      <c r="P141" s="661"/>
      <c r="Q141" s="661"/>
      <c r="R141" s="394">
        <f t="shared" si="123"/>
        <v>0</v>
      </c>
      <c r="S141" s="395"/>
      <c r="T141" s="394">
        <f t="shared" si="150"/>
        <v>0</v>
      </c>
      <c r="U141" s="395"/>
      <c r="V141" s="433" t="str">
        <f t="shared" si="151"/>
        <v/>
      </c>
      <c r="W141" s="436"/>
      <c r="X141" s="437" t="str">
        <f t="shared" si="124"/>
        <v/>
      </c>
      <c r="AB141" s="266">
        <f t="shared" si="125"/>
        <v>0</v>
      </c>
      <c r="AC141" s="120">
        <f t="shared" si="147"/>
        <v>0</v>
      </c>
      <c r="AD141" s="120"/>
      <c r="AE141" s="120">
        <f t="shared" si="148"/>
        <v>0</v>
      </c>
      <c r="AF141" s="268">
        <f t="shared" si="126"/>
        <v>0</v>
      </c>
      <c r="AG141" s="268">
        <f t="shared" si="127"/>
        <v>0</v>
      </c>
      <c r="AH141" s="268">
        <f t="shared" si="128"/>
        <v>0</v>
      </c>
      <c r="AI141" s="268">
        <f t="shared" si="129"/>
        <v>0</v>
      </c>
      <c r="AJ141" s="268">
        <f t="shared" si="130"/>
        <v>0</v>
      </c>
      <c r="AK141" s="268">
        <f t="shared" si="131"/>
        <v>0</v>
      </c>
      <c r="AL141" s="268">
        <f t="shared" si="132"/>
        <v>0</v>
      </c>
      <c r="AM141" s="268">
        <f t="shared" si="133"/>
        <v>0</v>
      </c>
      <c r="AN141" s="268">
        <f t="shared" si="134"/>
        <v>0</v>
      </c>
      <c r="AO141" s="268">
        <f t="shared" si="135"/>
        <v>0</v>
      </c>
      <c r="AP141" s="268">
        <f t="shared" si="136"/>
        <v>0</v>
      </c>
      <c r="AQ141" s="268">
        <f t="shared" si="137"/>
        <v>0</v>
      </c>
      <c r="AR141" s="268">
        <f t="shared" si="138"/>
        <v>0</v>
      </c>
      <c r="AS141" s="268">
        <f t="shared" si="139"/>
        <v>0</v>
      </c>
      <c r="AT141" s="268">
        <f t="shared" si="140"/>
        <v>0</v>
      </c>
      <c r="AU141" s="120">
        <f t="shared" si="141"/>
        <v>0</v>
      </c>
      <c r="AW141" s="120">
        <f t="shared" si="142"/>
        <v>0</v>
      </c>
      <c r="AX141" s="120">
        <f t="shared" si="143"/>
        <v>0</v>
      </c>
      <c r="AY141" s="120">
        <f t="shared" si="144"/>
        <v>0</v>
      </c>
      <c r="AZ141" s="120">
        <f t="shared" si="145"/>
        <v>0</v>
      </c>
      <c r="BA141" s="120">
        <f t="shared" si="146"/>
        <v>0</v>
      </c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"/>
      <c r="BW141" s="1"/>
      <c r="BX141" s="1"/>
      <c r="BY141" s="1"/>
      <c r="BZ141" s="1"/>
    </row>
    <row r="142" spans="1:78" x14ac:dyDescent="0.15">
      <c r="A142" s="307">
        <v>29</v>
      </c>
      <c r="B142" s="84">
        <f t="shared" si="149"/>
        <v>0</v>
      </c>
      <c r="C142" s="660"/>
      <c r="D142" s="661"/>
      <c r="E142" s="661"/>
      <c r="F142" s="661"/>
      <c r="G142" s="661"/>
      <c r="H142" s="661"/>
      <c r="I142" s="661"/>
      <c r="J142" s="661"/>
      <c r="K142" s="661"/>
      <c r="L142" s="661"/>
      <c r="M142" s="661"/>
      <c r="N142" s="661"/>
      <c r="O142" s="661"/>
      <c r="P142" s="661"/>
      <c r="Q142" s="661"/>
      <c r="R142" s="394">
        <f t="shared" si="123"/>
        <v>0</v>
      </c>
      <c r="S142" s="395"/>
      <c r="T142" s="394">
        <f t="shared" si="150"/>
        <v>0</v>
      </c>
      <c r="U142" s="395"/>
      <c r="V142" s="433" t="str">
        <f t="shared" si="151"/>
        <v/>
      </c>
      <c r="W142" s="436"/>
      <c r="X142" s="437" t="str">
        <f t="shared" si="124"/>
        <v/>
      </c>
      <c r="AB142" s="266">
        <f t="shared" si="125"/>
        <v>0</v>
      </c>
      <c r="AC142" s="120">
        <f t="shared" si="147"/>
        <v>0</v>
      </c>
      <c r="AD142" s="120"/>
      <c r="AE142" s="120">
        <f t="shared" si="148"/>
        <v>0</v>
      </c>
      <c r="AF142" s="268">
        <f t="shared" si="126"/>
        <v>0</v>
      </c>
      <c r="AG142" s="268">
        <f t="shared" si="127"/>
        <v>0</v>
      </c>
      <c r="AH142" s="268">
        <f t="shared" si="128"/>
        <v>0</v>
      </c>
      <c r="AI142" s="268">
        <f t="shared" si="129"/>
        <v>0</v>
      </c>
      <c r="AJ142" s="268">
        <f t="shared" si="130"/>
        <v>0</v>
      </c>
      <c r="AK142" s="268">
        <f t="shared" si="131"/>
        <v>0</v>
      </c>
      <c r="AL142" s="268">
        <f t="shared" si="132"/>
        <v>0</v>
      </c>
      <c r="AM142" s="268">
        <f t="shared" si="133"/>
        <v>0</v>
      </c>
      <c r="AN142" s="268">
        <f t="shared" si="134"/>
        <v>0</v>
      </c>
      <c r="AO142" s="268">
        <f t="shared" si="135"/>
        <v>0</v>
      </c>
      <c r="AP142" s="268">
        <f t="shared" si="136"/>
        <v>0</v>
      </c>
      <c r="AQ142" s="268">
        <f t="shared" si="137"/>
        <v>0</v>
      </c>
      <c r="AR142" s="268">
        <f t="shared" si="138"/>
        <v>0</v>
      </c>
      <c r="AS142" s="268">
        <f t="shared" si="139"/>
        <v>0</v>
      </c>
      <c r="AT142" s="268">
        <f t="shared" si="140"/>
        <v>0</v>
      </c>
      <c r="AU142" s="120">
        <f t="shared" si="141"/>
        <v>0</v>
      </c>
      <c r="AW142" s="120">
        <f t="shared" si="142"/>
        <v>0</v>
      </c>
      <c r="AX142" s="120">
        <f t="shared" si="143"/>
        <v>0</v>
      </c>
      <c r="AY142" s="120">
        <f t="shared" si="144"/>
        <v>0</v>
      </c>
      <c r="AZ142" s="120">
        <f t="shared" si="145"/>
        <v>0</v>
      </c>
      <c r="BA142" s="120">
        <f t="shared" si="146"/>
        <v>0</v>
      </c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"/>
      <c r="BW142" s="1"/>
      <c r="BX142" s="1"/>
      <c r="BY142" s="1"/>
      <c r="BZ142" s="1"/>
    </row>
    <row r="143" spans="1:78" x14ac:dyDescent="0.15">
      <c r="A143" s="307">
        <v>30</v>
      </c>
      <c r="B143" s="84">
        <f t="shared" si="149"/>
        <v>0</v>
      </c>
      <c r="C143" s="660"/>
      <c r="D143" s="661"/>
      <c r="E143" s="661"/>
      <c r="F143" s="661"/>
      <c r="G143" s="661"/>
      <c r="H143" s="661"/>
      <c r="I143" s="661"/>
      <c r="J143" s="661"/>
      <c r="K143" s="661"/>
      <c r="L143" s="661"/>
      <c r="M143" s="661"/>
      <c r="N143" s="661"/>
      <c r="O143" s="661"/>
      <c r="P143" s="661"/>
      <c r="Q143" s="661"/>
      <c r="R143" s="394">
        <f t="shared" si="123"/>
        <v>0</v>
      </c>
      <c r="S143" s="395"/>
      <c r="T143" s="394">
        <f t="shared" si="150"/>
        <v>0</v>
      </c>
      <c r="U143" s="395"/>
      <c r="V143" s="433" t="str">
        <f t="shared" si="151"/>
        <v/>
      </c>
      <c r="W143" s="436"/>
      <c r="X143" s="437" t="str">
        <f t="shared" si="124"/>
        <v/>
      </c>
      <c r="AB143" s="266">
        <f t="shared" si="125"/>
        <v>0</v>
      </c>
      <c r="AC143" s="120">
        <f t="shared" si="147"/>
        <v>0</v>
      </c>
      <c r="AD143" s="120"/>
      <c r="AE143" s="120">
        <f t="shared" si="148"/>
        <v>0</v>
      </c>
      <c r="AF143" s="268">
        <f t="shared" si="126"/>
        <v>0</v>
      </c>
      <c r="AG143" s="268">
        <f t="shared" si="127"/>
        <v>0</v>
      </c>
      <c r="AH143" s="268">
        <f t="shared" si="128"/>
        <v>0</v>
      </c>
      <c r="AI143" s="268">
        <f t="shared" si="129"/>
        <v>0</v>
      </c>
      <c r="AJ143" s="268">
        <f t="shared" si="130"/>
        <v>0</v>
      </c>
      <c r="AK143" s="268">
        <f t="shared" si="131"/>
        <v>0</v>
      </c>
      <c r="AL143" s="268">
        <f t="shared" si="132"/>
        <v>0</v>
      </c>
      <c r="AM143" s="268">
        <f t="shared" si="133"/>
        <v>0</v>
      </c>
      <c r="AN143" s="268">
        <f t="shared" si="134"/>
        <v>0</v>
      </c>
      <c r="AO143" s="268">
        <f t="shared" si="135"/>
        <v>0</v>
      </c>
      <c r="AP143" s="268">
        <f t="shared" si="136"/>
        <v>0</v>
      </c>
      <c r="AQ143" s="268">
        <f t="shared" si="137"/>
        <v>0</v>
      </c>
      <c r="AR143" s="268">
        <f t="shared" si="138"/>
        <v>0</v>
      </c>
      <c r="AS143" s="268">
        <f t="shared" si="139"/>
        <v>0</v>
      </c>
      <c r="AT143" s="268">
        <f t="shared" si="140"/>
        <v>0</v>
      </c>
      <c r="AU143" s="120">
        <f t="shared" si="141"/>
        <v>0</v>
      </c>
      <c r="AW143" s="120">
        <f t="shared" si="142"/>
        <v>0</v>
      </c>
      <c r="AX143" s="120">
        <f t="shared" si="143"/>
        <v>0</v>
      </c>
      <c r="AY143" s="120">
        <f t="shared" si="144"/>
        <v>0</v>
      </c>
      <c r="AZ143" s="120">
        <f t="shared" si="145"/>
        <v>0</v>
      </c>
      <c r="BA143" s="120">
        <f t="shared" si="146"/>
        <v>0</v>
      </c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"/>
      <c r="BW143" s="1"/>
      <c r="BX143" s="1"/>
      <c r="BY143" s="1"/>
      <c r="BZ143" s="1"/>
    </row>
    <row r="144" spans="1:78" x14ac:dyDescent="0.15">
      <c r="A144" s="307">
        <v>31</v>
      </c>
      <c r="B144" s="84">
        <f t="shared" si="149"/>
        <v>0</v>
      </c>
      <c r="C144" s="660"/>
      <c r="D144" s="661"/>
      <c r="E144" s="661"/>
      <c r="F144" s="661"/>
      <c r="G144" s="661"/>
      <c r="H144" s="661"/>
      <c r="I144" s="661"/>
      <c r="J144" s="661"/>
      <c r="K144" s="661"/>
      <c r="L144" s="661"/>
      <c r="M144" s="661"/>
      <c r="N144" s="661"/>
      <c r="O144" s="661"/>
      <c r="P144" s="661"/>
      <c r="Q144" s="661"/>
      <c r="R144" s="394">
        <f t="shared" si="123"/>
        <v>0</v>
      </c>
      <c r="S144" s="395"/>
      <c r="T144" s="394">
        <f t="shared" si="150"/>
        <v>0</v>
      </c>
      <c r="U144" s="395"/>
      <c r="V144" s="433" t="str">
        <f t="shared" si="151"/>
        <v/>
      </c>
      <c r="W144" s="436"/>
      <c r="X144" s="437" t="str">
        <f t="shared" si="124"/>
        <v/>
      </c>
      <c r="AB144" s="266">
        <f t="shared" si="125"/>
        <v>0</v>
      </c>
      <c r="AC144" s="120">
        <f t="shared" si="147"/>
        <v>0</v>
      </c>
      <c r="AD144" s="120"/>
      <c r="AE144" s="120">
        <f t="shared" si="148"/>
        <v>0</v>
      </c>
      <c r="AF144" s="268">
        <f t="shared" si="126"/>
        <v>0</v>
      </c>
      <c r="AG144" s="268">
        <f t="shared" si="127"/>
        <v>0</v>
      </c>
      <c r="AH144" s="268">
        <f t="shared" si="128"/>
        <v>0</v>
      </c>
      <c r="AI144" s="268">
        <f t="shared" si="129"/>
        <v>0</v>
      </c>
      <c r="AJ144" s="268">
        <f t="shared" si="130"/>
        <v>0</v>
      </c>
      <c r="AK144" s="268">
        <f t="shared" si="131"/>
        <v>0</v>
      </c>
      <c r="AL144" s="268">
        <f t="shared" si="132"/>
        <v>0</v>
      </c>
      <c r="AM144" s="268">
        <f t="shared" si="133"/>
        <v>0</v>
      </c>
      <c r="AN144" s="268">
        <f t="shared" si="134"/>
        <v>0</v>
      </c>
      <c r="AO144" s="268">
        <f t="shared" si="135"/>
        <v>0</v>
      </c>
      <c r="AP144" s="268">
        <f t="shared" si="136"/>
        <v>0</v>
      </c>
      <c r="AQ144" s="268">
        <f t="shared" si="137"/>
        <v>0</v>
      </c>
      <c r="AR144" s="268">
        <f t="shared" si="138"/>
        <v>0</v>
      </c>
      <c r="AS144" s="268">
        <f t="shared" si="139"/>
        <v>0</v>
      </c>
      <c r="AT144" s="268">
        <f t="shared" si="140"/>
        <v>0</v>
      </c>
      <c r="AU144" s="120">
        <f t="shared" si="141"/>
        <v>0</v>
      </c>
      <c r="AW144" s="120">
        <f t="shared" si="142"/>
        <v>0</v>
      </c>
      <c r="AX144" s="120">
        <f t="shared" si="143"/>
        <v>0</v>
      </c>
      <c r="AY144" s="120">
        <f t="shared" si="144"/>
        <v>0</v>
      </c>
      <c r="AZ144" s="120">
        <f t="shared" si="145"/>
        <v>0</v>
      </c>
      <c r="BA144" s="120">
        <f t="shared" si="146"/>
        <v>0</v>
      </c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"/>
      <c r="BW144" s="1"/>
      <c r="BX144" s="1"/>
      <c r="BY144" s="1"/>
      <c r="BZ144" s="1"/>
    </row>
    <row r="145" spans="1:78" x14ac:dyDescent="0.15">
      <c r="A145" s="307">
        <v>32</v>
      </c>
      <c r="B145" s="84">
        <f t="shared" si="149"/>
        <v>0</v>
      </c>
      <c r="C145" s="660"/>
      <c r="D145" s="661"/>
      <c r="E145" s="661"/>
      <c r="F145" s="661"/>
      <c r="G145" s="661"/>
      <c r="H145" s="661"/>
      <c r="I145" s="661"/>
      <c r="J145" s="661"/>
      <c r="K145" s="661"/>
      <c r="L145" s="661"/>
      <c r="M145" s="661"/>
      <c r="N145" s="661"/>
      <c r="O145" s="661"/>
      <c r="P145" s="661"/>
      <c r="Q145" s="661"/>
      <c r="R145" s="394">
        <f t="shared" si="123"/>
        <v>0</v>
      </c>
      <c r="S145" s="395"/>
      <c r="T145" s="394">
        <f t="shared" si="150"/>
        <v>0</v>
      </c>
      <c r="U145" s="395"/>
      <c r="V145" s="433" t="str">
        <f t="shared" si="151"/>
        <v/>
      </c>
      <c r="W145" s="436"/>
      <c r="X145" s="437" t="str">
        <f t="shared" si="124"/>
        <v/>
      </c>
      <c r="AB145" s="266">
        <f t="shared" si="125"/>
        <v>0</v>
      </c>
      <c r="AC145" s="120">
        <f t="shared" si="147"/>
        <v>0</v>
      </c>
      <c r="AD145" s="120"/>
      <c r="AE145" s="120">
        <f t="shared" si="148"/>
        <v>0</v>
      </c>
      <c r="AF145" s="268">
        <f t="shared" si="126"/>
        <v>0</v>
      </c>
      <c r="AG145" s="268">
        <f t="shared" si="127"/>
        <v>0</v>
      </c>
      <c r="AH145" s="268">
        <f t="shared" si="128"/>
        <v>0</v>
      </c>
      <c r="AI145" s="268">
        <f t="shared" si="129"/>
        <v>0</v>
      </c>
      <c r="AJ145" s="268">
        <f t="shared" si="130"/>
        <v>0</v>
      </c>
      <c r="AK145" s="268">
        <f t="shared" si="131"/>
        <v>0</v>
      </c>
      <c r="AL145" s="268">
        <f t="shared" si="132"/>
        <v>0</v>
      </c>
      <c r="AM145" s="268">
        <f t="shared" si="133"/>
        <v>0</v>
      </c>
      <c r="AN145" s="268">
        <f t="shared" si="134"/>
        <v>0</v>
      </c>
      <c r="AO145" s="268">
        <f t="shared" si="135"/>
        <v>0</v>
      </c>
      <c r="AP145" s="268">
        <f t="shared" si="136"/>
        <v>0</v>
      </c>
      <c r="AQ145" s="268">
        <f t="shared" si="137"/>
        <v>0</v>
      </c>
      <c r="AR145" s="268">
        <f t="shared" si="138"/>
        <v>0</v>
      </c>
      <c r="AS145" s="268">
        <f t="shared" si="139"/>
        <v>0</v>
      </c>
      <c r="AT145" s="268">
        <f t="shared" si="140"/>
        <v>0</v>
      </c>
      <c r="AU145" s="120">
        <f t="shared" si="141"/>
        <v>0</v>
      </c>
      <c r="AW145" s="120">
        <f t="shared" si="142"/>
        <v>0</v>
      </c>
      <c r="AX145" s="120">
        <f t="shared" si="143"/>
        <v>0</v>
      </c>
      <c r="AY145" s="120">
        <f t="shared" si="144"/>
        <v>0</v>
      </c>
      <c r="AZ145" s="120">
        <f t="shared" si="145"/>
        <v>0</v>
      </c>
      <c r="BA145" s="120">
        <f t="shared" si="146"/>
        <v>0</v>
      </c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"/>
      <c r="BW145" s="1"/>
      <c r="BX145" s="1"/>
      <c r="BY145" s="1"/>
      <c r="BZ145" s="1"/>
    </row>
    <row r="146" spans="1:78" x14ac:dyDescent="0.15">
      <c r="A146" s="307">
        <v>33</v>
      </c>
      <c r="B146" s="84">
        <f t="shared" si="149"/>
        <v>0</v>
      </c>
      <c r="C146" s="660"/>
      <c r="D146" s="661"/>
      <c r="E146" s="661"/>
      <c r="F146" s="661"/>
      <c r="G146" s="661"/>
      <c r="H146" s="661"/>
      <c r="I146" s="661"/>
      <c r="J146" s="661"/>
      <c r="K146" s="661"/>
      <c r="L146" s="661"/>
      <c r="M146" s="661"/>
      <c r="N146" s="661"/>
      <c r="O146" s="661"/>
      <c r="P146" s="661"/>
      <c r="Q146" s="661"/>
      <c r="R146" s="394">
        <f t="shared" ref="R146:R163" si="152">SUM(C146:Q146)</f>
        <v>0</v>
      </c>
      <c r="S146" s="395"/>
      <c r="T146" s="394">
        <f t="shared" si="150"/>
        <v>0</v>
      </c>
      <c r="U146" s="395"/>
      <c r="V146" s="433" t="str">
        <f t="shared" si="151"/>
        <v/>
      </c>
      <c r="W146" s="436"/>
      <c r="X146" s="437" t="str">
        <f t="shared" ref="X146:X163" si="153">IF(B146=0,"",SUMIF(R$65:R$79,AC146,U$65:U$79))</f>
        <v/>
      </c>
      <c r="AB146" s="266">
        <f t="shared" ref="AB146:AB163" si="154">IF(R146=0,T146,R146)</f>
        <v>0</v>
      </c>
      <c r="AC146" s="120">
        <f t="shared" si="147"/>
        <v>0</v>
      </c>
      <c r="AD146" s="120"/>
      <c r="AE146" s="120">
        <f t="shared" si="148"/>
        <v>0</v>
      </c>
      <c r="AF146" s="268">
        <f t="shared" ref="AF146:AF163" si="155">C146*$AE146</f>
        <v>0</v>
      </c>
      <c r="AG146" s="268">
        <f t="shared" ref="AG146:AG163" si="156">D146*$AE146</f>
        <v>0</v>
      </c>
      <c r="AH146" s="268">
        <f t="shared" ref="AH146:AH163" si="157">E146*$AE146</f>
        <v>0</v>
      </c>
      <c r="AI146" s="268">
        <f t="shared" ref="AI146:AI163" si="158">F146*$AE146</f>
        <v>0</v>
      </c>
      <c r="AJ146" s="268">
        <f t="shared" ref="AJ146:AJ163" si="159">G146*$AE146</f>
        <v>0</v>
      </c>
      <c r="AK146" s="268">
        <f t="shared" ref="AK146:AK163" si="160">H146*$AE146</f>
        <v>0</v>
      </c>
      <c r="AL146" s="268">
        <f t="shared" ref="AL146:AL163" si="161">I146*$AE146</f>
        <v>0</v>
      </c>
      <c r="AM146" s="268">
        <f t="shared" ref="AM146:AM163" si="162">J146*$AE146</f>
        <v>0</v>
      </c>
      <c r="AN146" s="268">
        <f t="shared" ref="AN146:AN163" si="163">K146*$AE146</f>
        <v>0</v>
      </c>
      <c r="AO146" s="268">
        <f t="shared" ref="AO146:AO163" si="164">L146*$AE146</f>
        <v>0</v>
      </c>
      <c r="AP146" s="268">
        <f t="shared" ref="AP146:AP163" si="165">M146*$AE146</f>
        <v>0</v>
      </c>
      <c r="AQ146" s="268">
        <f t="shared" ref="AQ146:AQ163" si="166">N146*$AE146</f>
        <v>0</v>
      </c>
      <c r="AR146" s="268">
        <f t="shared" ref="AR146:AR163" si="167">O146*$AE146</f>
        <v>0</v>
      </c>
      <c r="AS146" s="268">
        <f t="shared" ref="AS146:AS163" si="168">P146*$AE146</f>
        <v>0</v>
      </c>
      <c r="AT146" s="268">
        <f t="shared" ref="AT146:AT163" si="169">Q146*$AE146</f>
        <v>0</v>
      </c>
      <c r="AU146" s="120">
        <f t="shared" si="141"/>
        <v>0</v>
      </c>
      <c r="AW146" s="120">
        <f t="shared" ref="AW146:AW163" si="170">IF(B$171="",0,SUMIF(D$171:D$175,A146,AB$171:AB$175))</f>
        <v>0</v>
      </c>
      <c r="AX146" s="120">
        <f t="shared" ref="AX146:AX163" si="171">IF(B$176="",0,SUMIF(D$176:D$180,A146,AB$176:AB$180))</f>
        <v>0</v>
      </c>
      <c r="AY146" s="120">
        <f t="shared" ref="AY146:AY163" si="172">IF(B$181="",0,SUMIF(D$181:D$185,A146,AB$181:AB$185))</f>
        <v>0</v>
      </c>
      <c r="AZ146" s="120">
        <f t="shared" ref="AZ146:AZ163" si="173">IF(B$186="",0,SUMIF(D$186:D$190,A146,AB$186:AB$190))</f>
        <v>0</v>
      </c>
      <c r="BA146" s="120">
        <f t="shared" ref="BA146:BA163" si="174">IF(B$191="",0,SUMIF(D$191:D$195,A146,AB$191:AB$195))</f>
        <v>0</v>
      </c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"/>
      <c r="BW146" s="1"/>
      <c r="BX146" s="1"/>
      <c r="BY146" s="1"/>
      <c r="BZ146" s="1"/>
    </row>
    <row r="147" spans="1:78" x14ac:dyDescent="0.15">
      <c r="A147" s="307">
        <v>34</v>
      </c>
      <c r="B147" s="84">
        <f t="shared" si="149"/>
        <v>0</v>
      </c>
      <c r="C147" s="660"/>
      <c r="D147" s="661"/>
      <c r="E147" s="661"/>
      <c r="F147" s="661"/>
      <c r="G147" s="661"/>
      <c r="H147" s="661"/>
      <c r="I147" s="661"/>
      <c r="J147" s="661"/>
      <c r="K147" s="661"/>
      <c r="L147" s="661"/>
      <c r="M147" s="661"/>
      <c r="N147" s="661"/>
      <c r="O147" s="661"/>
      <c r="P147" s="661"/>
      <c r="Q147" s="661"/>
      <c r="R147" s="394">
        <f t="shared" si="152"/>
        <v>0</v>
      </c>
      <c r="S147" s="395"/>
      <c r="T147" s="394">
        <f t="shared" si="150"/>
        <v>0</v>
      </c>
      <c r="U147" s="395"/>
      <c r="V147" s="433" t="str">
        <f t="shared" si="151"/>
        <v/>
      </c>
      <c r="W147" s="436"/>
      <c r="X147" s="437" t="str">
        <f t="shared" si="153"/>
        <v/>
      </c>
      <c r="AB147" s="266">
        <f t="shared" si="154"/>
        <v>0</v>
      </c>
      <c r="AC147" s="120">
        <f t="shared" si="147"/>
        <v>0</v>
      </c>
      <c r="AD147" s="120"/>
      <c r="AE147" s="120">
        <f t="shared" si="148"/>
        <v>0</v>
      </c>
      <c r="AF147" s="268">
        <f t="shared" si="155"/>
        <v>0</v>
      </c>
      <c r="AG147" s="268">
        <f t="shared" si="156"/>
        <v>0</v>
      </c>
      <c r="AH147" s="268">
        <f t="shared" si="157"/>
        <v>0</v>
      </c>
      <c r="AI147" s="268">
        <f t="shared" si="158"/>
        <v>0</v>
      </c>
      <c r="AJ147" s="268">
        <f t="shared" si="159"/>
        <v>0</v>
      </c>
      <c r="AK147" s="268">
        <f t="shared" si="160"/>
        <v>0</v>
      </c>
      <c r="AL147" s="268">
        <f t="shared" si="161"/>
        <v>0</v>
      </c>
      <c r="AM147" s="268">
        <f t="shared" si="162"/>
        <v>0</v>
      </c>
      <c r="AN147" s="268">
        <f t="shared" si="163"/>
        <v>0</v>
      </c>
      <c r="AO147" s="268">
        <f t="shared" si="164"/>
        <v>0</v>
      </c>
      <c r="AP147" s="268">
        <f t="shared" si="165"/>
        <v>0</v>
      </c>
      <c r="AQ147" s="268">
        <f t="shared" si="166"/>
        <v>0</v>
      </c>
      <c r="AR147" s="268">
        <f t="shared" si="167"/>
        <v>0</v>
      </c>
      <c r="AS147" s="268">
        <f t="shared" si="168"/>
        <v>0</v>
      </c>
      <c r="AT147" s="268">
        <f t="shared" si="169"/>
        <v>0</v>
      </c>
      <c r="AU147" s="120">
        <f t="shared" si="141"/>
        <v>0</v>
      </c>
      <c r="AW147" s="120">
        <f t="shared" si="170"/>
        <v>0</v>
      </c>
      <c r="AX147" s="120">
        <f t="shared" si="171"/>
        <v>0</v>
      </c>
      <c r="AY147" s="120">
        <f t="shared" si="172"/>
        <v>0</v>
      </c>
      <c r="AZ147" s="120">
        <f t="shared" si="173"/>
        <v>0</v>
      </c>
      <c r="BA147" s="120">
        <f t="shared" si="174"/>
        <v>0</v>
      </c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"/>
      <c r="BW147" s="1"/>
      <c r="BX147" s="1"/>
      <c r="BY147" s="1"/>
      <c r="BZ147" s="1"/>
    </row>
    <row r="148" spans="1:78" x14ac:dyDescent="0.15">
      <c r="A148" s="307">
        <v>35</v>
      </c>
      <c r="B148" s="84">
        <f t="shared" si="149"/>
        <v>0</v>
      </c>
      <c r="C148" s="660"/>
      <c r="D148" s="661"/>
      <c r="E148" s="661"/>
      <c r="F148" s="661"/>
      <c r="G148" s="661"/>
      <c r="H148" s="661"/>
      <c r="I148" s="661"/>
      <c r="J148" s="661"/>
      <c r="K148" s="661"/>
      <c r="L148" s="661"/>
      <c r="M148" s="661"/>
      <c r="N148" s="661"/>
      <c r="O148" s="661"/>
      <c r="P148" s="661"/>
      <c r="Q148" s="661"/>
      <c r="R148" s="394">
        <f t="shared" si="152"/>
        <v>0</v>
      </c>
      <c r="S148" s="395"/>
      <c r="T148" s="394">
        <f t="shared" si="150"/>
        <v>0</v>
      </c>
      <c r="U148" s="395"/>
      <c r="V148" s="433" t="str">
        <f t="shared" si="151"/>
        <v/>
      </c>
      <c r="W148" s="436"/>
      <c r="X148" s="437" t="str">
        <f t="shared" si="153"/>
        <v/>
      </c>
      <c r="AB148" s="266">
        <f t="shared" si="154"/>
        <v>0</v>
      </c>
      <c r="AC148" s="120">
        <f t="shared" si="147"/>
        <v>0</v>
      </c>
      <c r="AD148" s="120"/>
      <c r="AE148" s="120">
        <f t="shared" si="148"/>
        <v>0</v>
      </c>
      <c r="AF148" s="268">
        <f t="shared" si="155"/>
        <v>0</v>
      </c>
      <c r="AG148" s="268">
        <f t="shared" si="156"/>
        <v>0</v>
      </c>
      <c r="AH148" s="268">
        <f t="shared" si="157"/>
        <v>0</v>
      </c>
      <c r="AI148" s="268">
        <f t="shared" si="158"/>
        <v>0</v>
      </c>
      <c r="AJ148" s="268">
        <f t="shared" si="159"/>
        <v>0</v>
      </c>
      <c r="AK148" s="268">
        <f t="shared" si="160"/>
        <v>0</v>
      </c>
      <c r="AL148" s="268">
        <f t="shared" si="161"/>
        <v>0</v>
      </c>
      <c r="AM148" s="268">
        <f t="shared" si="162"/>
        <v>0</v>
      </c>
      <c r="AN148" s="268">
        <f t="shared" si="163"/>
        <v>0</v>
      </c>
      <c r="AO148" s="268">
        <f t="shared" si="164"/>
        <v>0</v>
      </c>
      <c r="AP148" s="268">
        <f t="shared" si="165"/>
        <v>0</v>
      </c>
      <c r="AQ148" s="268">
        <f t="shared" si="166"/>
        <v>0</v>
      </c>
      <c r="AR148" s="268">
        <f t="shared" si="167"/>
        <v>0</v>
      </c>
      <c r="AS148" s="268">
        <f t="shared" si="168"/>
        <v>0</v>
      </c>
      <c r="AT148" s="268">
        <f t="shared" si="169"/>
        <v>0</v>
      </c>
      <c r="AU148" s="120">
        <f t="shared" si="141"/>
        <v>0</v>
      </c>
      <c r="AW148" s="120">
        <f t="shared" si="170"/>
        <v>0</v>
      </c>
      <c r="AX148" s="120">
        <f t="shared" si="171"/>
        <v>0</v>
      </c>
      <c r="AY148" s="120">
        <f t="shared" si="172"/>
        <v>0</v>
      </c>
      <c r="AZ148" s="120">
        <f t="shared" si="173"/>
        <v>0</v>
      </c>
      <c r="BA148" s="120">
        <f t="shared" si="174"/>
        <v>0</v>
      </c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"/>
      <c r="BW148" s="1"/>
      <c r="BX148" s="1"/>
      <c r="BY148" s="1"/>
      <c r="BZ148" s="1"/>
    </row>
    <row r="149" spans="1:78" x14ac:dyDescent="0.15">
      <c r="A149" s="307">
        <v>36</v>
      </c>
      <c r="B149" s="84">
        <f t="shared" si="149"/>
        <v>0</v>
      </c>
      <c r="C149" s="660"/>
      <c r="D149" s="661"/>
      <c r="E149" s="661"/>
      <c r="F149" s="661"/>
      <c r="G149" s="661"/>
      <c r="H149" s="661"/>
      <c r="I149" s="661"/>
      <c r="J149" s="661"/>
      <c r="K149" s="661"/>
      <c r="L149" s="661"/>
      <c r="M149" s="661"/>
      <c r="N149" s="661"/>
      <c r="O149" s="661"/>
      <c r="P149" s="661"/>
      <c r="Q149" s="661"/>
      <c r="R149" s="394">
        <f t="shared" si="152"/>
        <v>0</v>
      </c>
      <c r="S149" s="395"/>
      <c r="T149" s="394">
        <f t="shared" si="150"/>
        <v>0</v>
      </c>
      <c r="U149" s="395"/>
      <c r="V149" s="433" t="str">
        <f t="shared" si="151"/>
        <v/>
      </c>
      <c r="W149" s="436"/>
      <c r="X149" s="437" t="str">
        <f t="shared" si="153"/>
        <v/>
      </c>
      <c r="AB149" s="266">
        <f t="shared" si="154"/>
        <v>0</v>
      </c>
      <c r="AC149" s="120">
        <f t="shared" si="147"/>
        <v>0</v>
      </c>
      <c r="AD149" s="120"/>
      <c r="AE149" s="120">
        <f t="shared" si="148"/>
        <v>0</v>
      </c>
      <c r="AF149" s="268">
        <f t="shared" si="155"/>
        <v>0</v>
      </c>
      <c r="AG149" s="268">
        <f t="shared" si="156"/>
        <v>0</v>
      </c>
      <c r="AH149" s="268">
        <f t="shared" si="157"/>
        <v>0</v>
      </c>
      <c r="AI149" s="268">
        <f t="shared" si="158"/>
        <v>0</v>
      </c>
      <c r="AJ149" s="268">
        <f t="shared" si="159"/>
        <v>0</v>
      </c>
      <c r="AK149" s="268">
        <f t="shared" si="160"/>
        <v>0</v>
      </c>
      <c r="AL149" s="268">
        <f t="shared" si="161"/>
        <v>0</v>
      </c>
      <c r="AM149" s="268">
        <f t="shared" si="162"/>
        <v>0</v>
      </c>
      <c r="AN149" s="268">
        <f t="shared" si="163"/>
        <v>0</v>
      </c>
      <c r="AO149" s="268">
        <f t="shared" si="164"/>
        <v>0</v>
      </c>
      <c r="AP149" s="268">
        <f t="shared" si="165"/>
        <v>0</v>
      </c>
      <c r="AQ149" s="268">
        <f t="shared" si="166"/>
        <v>0</v>
      </c>
      <c r="AR149" s="268">
        <f t="shared" si="167"/>
        <v>0</v>
      </c>
      <c r="AS149" s="268">
        <f t="shared" si="168"/>
        <v>0</v>
      </c>
      <c r="AT149" s="268">
        <f t="shared" si="169"/>
        <v>0</v>
      </c>
      <c r="AU149" s="120">
        <f t="shared" si="141"/>
        <v>0</v>
      </c>
      <c r="AW149" s="120">
        <f t="shared" si="170"/>
        <v>0</v>
      </c>
      <c r="AX149" s="120">
        <f t="shared" si="171"/>
        <v>0</v>
      </c>
      <c r="AY149" s="120">
        <f t="shared" si="172"/>
        <v>0</v>
      </c>
      <c r="AZ149" s="120">
        <f t="shared" si="173"/>
        <v>0</v>
      </c>
      <c r="BA149" s="120">
        <f t="shared" si="174"/>
        <v>0</v>
      </c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"/>
      <c r="BW149" s="1"/>
      <c r="BX149" s="1"/>
      <c r="BY149" s="1"/>
      <c r="BZ149" s="1"/>
    </row>
    <row r="150" spans="1:78" x14ac:dyDescent="0.15">
      <c r="A150" s="307">
        <v>37</v>
      </c>
      <c r="B150" s="84">
        <f t="shared" si="149"/>
        <v>0</v>
      </c>
      <c r="C150" s="660"/>
      <c r="D150" s="661"/>
      <c r="E150" s="661"/>
      <c r="F150" s="661"/>
      <c r="G150" s="661"/>
      <c r="H150" s="661"/>
      <c r="I150" s="661"/>
      <c r="J150" s="661"/>
      <c r="K150" s="661"/>
      <c r="L150" s="661"/>
      <c r="M150" s="661"/>
      <c r="N150" s="661"/>
      <c r="O150" s="661"/>
      <c r="P150" s="661"/>
      <c r="Q150" s="661"/>
      <c r="R150" s="394">
        <f t="shared" si="152"/>
        <v>0</v>
      </c>
      <c r="S150" s="395"/>
      <c r="T150" s="394">
        <f t="shared" si="150"/>
        <v>0</v>
      </c>
      <c r="U150" s="395"/>
      <c r="V150" s="433" t="str">
        <f t="shared" si="151"/>
        <v/>
      </c>
      <c r="W150" s="436"/>
      <c r="X150" s="437" t="str">
        <f t="shared" si="153"/>
        <v/>
      </c>
      <c r="AB150" s="266">
        <f t="shared" si="154"/>
        <v>0</v>
      </c>
      <c r="AC150" s="120">
        <f t="shared" si="147"/>
        <v>0</v>
      </c>
      <c r="AD150" s="120"/>
      <c r="AE150" s="120">
        <f t="shared" si="148"/>
        <v>0</v>
      </c>
      <c r="AF150" s="268">
        <f t="shared" si="155"/>
        <v>0</v>
      </c>
      <c r="AG150" s="268">
        <f t="shared" si="156"/>
        <v>0</v>
      </c>
      <c r="AH150" s="268">
        <f t="shared" si="157"/>
        <v>0</v>
      </c>
      <c r="AI150" s="268">
        <f t="shared" si="158"/>
        <v>0</v>
      </c>
      <c r="AJ150" s="268">
        <f t="shared" si="159"/>
        <v>0</v>
      </c>
      <c r="AK150" s="268">
        <f t="shared" si="160"/>
        <v>0</v>
      </c>
      <c r="AL150" s="268">
        <f t="shared" si="161"/>
        <v>0</v>
      </c>
      <c r="AM150" s="268">
        <f t="shared" si="162"/>
        <v>0</v>
      </c>
      <c r="AN150" s="268">
        <f t="shared" si="163"/>
        <v>0</v>
      </c>
      <c r="AO150" s="268">
        <f t="shared" si="164"/>
        <v>0</v>
      </c>
      <c r="AP150" s="268">
        <f t="shared" si="165"/>
        <v>0</v>
      </c>
      <c r="AQ150" s="268">
        <f t="shared" si="166"/>
        <v>0</v>
      </c>
      <c r="AR150" s="268">
        <f t="shared" si="167"/>
        <v>0</v>
      </c>
      <c r="AS150" s="268">
        <f t="shared" si="168"/>
        <v>0</v>
      </c>
      <c r="AT150" s="268">
        <f t="shared" si="169"/>
        <v>0</v>
      </c>
      <c r="AU150" s="120">
        <f t="shared" si="141"/>
        <v>0</v>
      </c>
      <c r="AW150" s="120">
        <f t="shared" si="170"/>
        <v>0</v>
      </c>
      <c r="AX150" s="120">
        <f t="shared" si="171"/>
        <v>0</v>
      </c>
      <c r="AY150" s="120">
        <f t="shared" si="172"/>
        <v>0</v>
      </c>
      <c r="AZ150" s="120">
        <f t="shared" si="173"/>
        <v>0</v>
      </c>
      <c r="BA150" s="120">
        <f t="shared" si="174"/>
        <v>0</v>
      </c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"/>
      <c r="BW150" s="1"/>
      <c r="BX150" s="1"/>
      <c r="BY150" s="1"/>
      <c r="BZ150" s="1"/>
    </row>
    <row r="151" spans="1:78" x14ac:dyDescent="0.15">
      <c r="A151" s="307">
        <v>38</v>
      </c>
      <c r="B151" s="84">
        <f t="shared" si="149"/>
        <v>0</v>
      </c>
      <c r="C151" s="660"/>
      <c r="D151" s="661"/>
      <c r="E151" s="661"/>
      <c r="F151" s="661"/>
      <c r="G151" s="661"/>
      <c r="H151" s="661"/>
      <c r="I151" s="661"/>
      <c r="J151" s="661"/>
      <c r="K151" s="661"/>
      <c r="L151" s="661"/>
      <c r="M151" s="661"/>
      <c r="N151" s="661"/>
      <c r="O151" s="661"/>
      <c r="P151" s="661"/>
      <c r="Q151" s="661"/>
      <c r="R151" s="394">
        <f t="shared" si="152"/>
        <v>0</v>
      </c>
      <c r="S151" s="395"/>
      <c r="T151" s="394">
        <f t="shared" si="150"/>
        <v>0</v>
      </c>
      <c r="U151" s="395"/>
      <c r="V151" s="433" t="str">
        <f t="shared" si="151"/>
        <v/>
      </c>
      <c r="W151" s="436"/>
      <c r="X151" s="437" t="str">
        <f t="shared" si="153"/>
        <v/>
      </c>
      <c r="AB151" s="266">
        <f t="shared" si="154"/>
        <v>0</v>
      </c>
      <c r="AC151" s="120">
        <f t="shared" si="147"/>
        <v>0</v>
      </c>
      <c r="AD151" s="120"/>
      <c r="AE151" s="120">
        <f t="shared" si="148"/>
        <v>0</v>
      </c>
      <c r="AF151" s="268">
        <f t="shared" si="155"/>
        <v>0</v>
      </c>
      <c r="AG151" s="268">
        <f t="shared" si="156"/>
        <v>0</v>
      </c>
      <c r="AH151" s="268">
        <f t="shared" si="157"/>
        <v>0</v>
      </c>
      <c r="AI151" s="268">
        <f t="shared" si="158"/>
        <v>0</v>
      </c>
      <c r="AJ151" s="268">
        <f t="shared" si="159"/>
        <v>0</v>
      </c>
      <c r="AK151" s="268">
        <f t="shared" si="160"/>
        <v>0</v>
      </c>
      <c r="AL151" s="268">
        <f t="shared" si="161"/>
        <v>0</v>
      </c>
      <c r="AM151" s="268">
        <f t="shared" si="162"/>
        <v>0</v>
      </c>
      <c r="AN151" s="268">
        <f t="shared" si="163"/>
        <v>0</v>
      </c>
      <c r="AO151" s="268">
        <f t="shared" si="164"/>
        <v>0</v>
      </c>
      <c r="AP151" s="268">
        <f t="shared" si="165"/>
        <v>0</v>
      </c>
      <c r="AQ151" s="268">
        <f t="shared" si="166"/>
        <v>0</v>
      </c>
      <c r="AR151" s="268">
        <f t="shared" si="167"/>
        <v>0</v>
      </c>
      <c r="AS151" s="268">
        <f t="shared" si="168"/>
        <v>0</v>
      </c>
      <c r="AT151" s="268">
        <f t="shared" si="169"/>
        <v>0</v>
      </c>
      <c r="AU151" s="120">
        <f t="shared" si="141"/>
        <v>0</v>
      </c>
      <c r="AW151" s="120">
        <f t="shared" si="170"/>
        <v>0</v>
      </c>
      <c r="AX151" s="120">
        <f t="shared" si="171"/>
        <v>0</v>
      </c>
      <c r="AY151" s="120">
        <f t="shared" si="172"/>
        <v>0</v>
      </c>
      <c r="AZ151" s="120">
        <f t="shared" si="173"/>
        <v>0</v>
      </c>
      <c r="BA151" s="120">
        <f t="shared" si="174"/>
        <v>0</v>
      </c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"/>
      <c r="BW151" s="1"/>
      <c r="BX151" s="1"/>
      <c r="BY151" s="1"/>
      <c r="BZ151" s="1"/>
    </row>
    <row r="152" spans="1:78" x14ac:dyDescent="0.15">
      <c r="A152" s="307">
        <v>39</v>
      </c>
      <c r="B152" s="84">
        <f t="shared" si="149"/>
        <v>0</v>
      </c>
      <c r="C152" s="660"/>
      <c r="D152" s="661"/>
      <c r="E152" s="661"/>
      <c r="F152" s="661"/>
      <c r="G152" s="661"/>
      <c r="H152" s="661"/>
      <c r="I152" s="661"/>
      <c r="J152" s="661"/>
      <c r="K152" s="661"/>
      <c r="L152" s="661"/>
      <c r="M152" s="661"/>
      <c r="N152" s="661"/>
      <c r="O152" s="661"/>
      <c r="P152" s="661"/>
      <c r="Q152" s="661"/>
      <c r="R152" s="394">
        <f t="shared" si="152"/>
        <v>0</v>
      </c>
      <c r="S152" s="395"/>
      <c r="T152" s="394">
        <f t="shared" si="150"/>
        <v>0</v>
      </c>
      <c r="U152" s="395"/>
      <c r="V152" s="433" t="str">
        <f t="shared" si="151"/>
        <v/>
      </c>
      <c r="W152" s="436"/>
      <c r="X152" s="437" t="str">
        <f t="shared" si="153"/>
        <v/>
      </c>
      <c r="AB152" s="266">
        <f t="shared" si="154"/>
        <v>0</v>
      </c>
      <c r="AC152" s="120">
        <f t="shared" si="147"/>
        <v>0</v>
      </c>
      <c r="AD152" s="120"/>
      <c r="AE152" s="120">
        <f t="shared" si="148"/>
        <v>0</v>
      </c>
      <c r="AF152" s="268">
        <f t="shared" si="155"/>
        <v>0</v>
      </c>
      <c r="AG152" s="268">
        <f t="shared" si="156"/>
        <v>0</v>
      </c>
      <c r="AH152" s="268">
        <f t="shared" si="157"/>
        <v>0</v>
      </c>
      <c r="AI152" s="268">
        <f t="shared" si="158"/>
        <v>0</v>
      </c>
      <c r="AJ152" s="268">
        <f t="shared" si="159"/>
        <v>0</v>
      </c>
      <c r="AK152" s="268">
        <f t="shared" si="160"/>
        <v>0</v>
      </c>
      <c r="AL152" s="268">
        <f t="shared" si="161"/>
        <v>0</v>
      </c>
      <c r="AM152" s="268">
        <f t="shared" si="162"/>
        <v>0</v>
      </c>
      <c r="AN152" s="268">
        <f t="shared" si="163"/>
        <v>0</v>
      </c>
      <c r="AO152" s="268">
        <f t="shared" si="164"/>
        <v>0</v>
      </c>
      <c r="AP152" s="268">
        <f t="shared" si="165"/>
        <v>0</v>
      </c>
      <c r="AQ152" s="268">
        <f t="shared" si="166"/>
        <v>0</v>
      </c>
      <c r="AR152" s="268">
        <f t="shared" si="167"/>
        <v>0</v>
      </c>
      <c r="AS152" s="268">
        <f t="shared" si="168"/>
        <v>0</v>
      </c>
      <c r="AT152" s="268">
        <f t="shared" si="169"/>
        <v>0</v>
      </c>
      <c r="AU152" s="120">
        <f t="shared" si="141"/>
        <v>0</v>
      </c>
      <c r="AW152" s="120">
        <f t="shared" si="170"/>
        <v>0</v>
      </c>
      <c r="AX152" s="120">
        <f t="shared" si="171"/>
        <v>0</v>
      </c>
      <c r="AY152" s="120">
        <f t="shared" si="172"/>
        <v>0</v>
      </c>
      <c r="AZ152" s="120">
        <f t="shared" si="173"/>
        <v>0</v>
      </c>
      <c r="BA152" s="120">
        <f t="shared" si="174"/>
        <v>0</v>
      </c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"/>
      <c r="BW152" s="1"/>
      <c r="BX152" s="1"/>
      <c r="BY152" s="1"/>
      <c r="BZ152" s="1"/>
    </row>
    <row r="153" spans="1:78" x14ac:dyDescent="0.15">
      <c r="A153" s="307">
        <v>40</v>
      </c>
      <c r="B153" s="84">
        <f t="shared" si="149"/>
        <v>0</v>
      </c>
      <c r="C153" s="660"/>
      <c r="D153" s="661"/>
      <c r="E153" s="661"/>
      <c r="F153" s="661"/>
      <c r="G153" s="661"/>
      <c r="H153" s="661"/>
      <c r="I153" s="661"/>
      <c r="J153" s="661"/>
      <c r="K153" s="661"/>
      <c r="L153" s="661"/>
      <c r="M153" s="661"/>
      <c r="N153" s="661"/>
      <c r="O153" s="661"/>
      <c r="P153" s="661"/>
      <c r="Q153" s="661"/>
      <c r="R153" s="394">
        <f t="shared" si="152"/>
        <v>0</v>
      </c>
      <c r="S153" s="395"/>
      <c r="T153" s="394">
        <f t="shared" si="150"/>
        <v>0</v>
      </c>
      <c r="U153" s="395"/>
      <c r="V153" s="433" t="str">
        <f t="shared" si="151"/>
        <v/>
      </c>
      <c r="W153" s="436"/>
      <c r="X153" s="437" t="str">
        <f t="shared" si="153"/>
        <v/>
      </c>
      <c r="AB153" s="266">
        <f t="shared" si="154"/>
        <v>0</v>
      </c>
      <c r="AC153" s="120">
        <f t="shared" si="147"/>
        <v>0</v>
      </c>
      <c r="AD153" s="120"/>
      <c r="AE153" s="120">
        <f t="shared" si="148"/>
        <v>0</v>
      </c>
      <c r="AF153" s="268">
        <f t="shared" si="155"/>
        <v>0</v>
      </c>
      <c r="AG153" s="268">
        <f t="shared" si="156"/>
        <v>0</v>
      </c>
      <c r="AH153" s="268">
        <f t="shared" si="157"/>
        <v>0</v>
      </c>
      <c r="AI153" s="268">
        <f t="shared" si="158"/>
        <v>0</v>
      </c>
      <c r="AJ153" s="268">
        <f t="shared" si="159"/>
        <v>0</v>
      </c>
      <c r="AK153" s="268">
        <f t="shared" si="160"/>
        <v>0</v>
      </c>
      <c r="AL153" s="268">
        <f t="shared" si="161"/>
        <v>0</v>
      </c>
      <c r="AM153" s="268">
        <f t="shared" si="162"/>
        <v>0</v>
      </c>
      <c r="AN153" s="268">
        <f t="shared" si="163"/>
        <v>0</v>
      </c>
      <c r="AO153" s="268">
        <f t="shared" si="164"/>
        <v>0</v>
      </c>
      <c r="AP153" s="268">
        <f t="shared" si="165"/>
        <v>0</v>
      </c>
      <c r="AQ153" s="268">
        <f t="shared" si="166"/>
        <v>0</v>
      </c>
      <c r="AR153" s="268">
        <f t="shared" si="167"/>
        <v>0</v>
      </c>
      <c r="AS153" s="268">
        <f t="shared" si="168"/>
        <v>0</v>
      </c>
      <c r="AT153" s="268">
        <f t="shared" si="169"/>
        <v>0</v>
      </c>
      <c r="AU153" s="120">
        <f t="shared" si="141"/>
        <v>0</v>
      </c>
      <c r="AW153" s="120">
        <f t="shared" si="170"/>
        <v>0</v>
      </c>
      <c r="AX153" s="120">
        <f t="shared" si="171"/>
        <v>0</v>
      </c>
      <c r="AY153" s="120">
        <f t="shared" si="172"/>
        <v>0</v>
      </c>
      <c r="AZ153" s="120">
        <f t="shared" si="173"/>
        <v>0</v>
      </c>
      <c r="BA153" s="120">
        <f t="shared" si="174"/>
        <v>0</v>
      </c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"/>
      <c r="BW153" s="1"/>
      <c r="BX153" s="1"/>
      <c r="BY153" s="1"/>
      <c r="BZ153" s="1"/>
    </row>
    <row r="154" spans="1:78" x14ac:dyDescent="0.15">
      <c r="A154" s="307">
        <v>41</v>
      </c>
      <c r="B154" s="84">
        <f t="shared" si="149"/>
        <v>0</v>
      </c>
      <c r="C154" s="660"/>
      <c r="D154" s="661"/>
      <c r="E154" s="661"/>
      <c r="F154" s="661"/>
      <c r="G154" s="661"/>
      <c r="H154" s="661"/>
      <c r="I154" s="661"/>
      <c r="J154" s="661"/>
      <c r="K154" s="661"/>
      <c r="L154" s="661"/>
      <c r="M154" s="661"/>
      <c r="N154" s="661"/>
      <c r="O154" s="661"/>
      <c r="P154" s="661"/>
      <c r="Q154" s="661"/>
      <c r="R154" s="394">
        <f t="shared" si="152"/>
        <v>0</v>
      </c>
      <c r="S154" s="395"/>
      <c r="T154" s="394">
        <f t="shared" si="150"/>
        <v>0</v>
      </c>
      <c r="U154" s="395"/>
      <c r="V154" s="433" t="str">
        <f t="shared" si="151"/>
        <v/>
      </c>
      <c r="W154" s="436"/>
      <c r="X154" s="437" t="str">
        <f t="shared" si="153"/>
        <v/>
      </c>
      <c r="AB154" s="266">
        <f t="shared" si="154"/>
        <v>0</v>
      </c>
      <c r="AC154" s="120">
        <f t="shared" si="147"/>
        <v>0</v>
      </c>
      <c r="AD154" s="120"/>
      <c r="AE154" s="120">
        <f t="shared" si="148"/>
        <v>0</v>
      </c>
      <c r="AF154" s="268">
        <f t="shared" si="155"/>
        <v>0</v>
      </c>
      <c r="AG154" s="268">
        <f t="shared" si="156"/>
        <v>0</v>
      </c>
      <c r="AH154" s="268">
        <f t="shared" si="157"/>
        <v>0</v>
      </c>
      <c r="AI154" s="268">
        <f t="shared" si="158"/>
        <v>0</v>
      </c>
      <c r="AJ154" s="268">
        <f t="shared" si="159"/>
        <v>0</v>
      </c>
      <c r="AK154" s="268">
        <f t="shared" si="160"/>
        <v>0</v>
      </c>
      <c r="AL154" s="268">
        <f t="shared" si="161"/>
        <v>0</v>
      </c>
      <c r="AM154" s="268">
        <f t="shared" si="162"/>
        <v>0</v>
      </c>
      <c r="AN154" s="268">
        <f t="shared" si="163"/>
        <v>0</v>
      </c>
      <c r="AO154" s="268">
        <f t="shared" si="164"/>
        <v>0</v>
      </c>
      <c r="AP154" s="268">
        <f t="shared" si="165"/>
        <v>0</v>
      </c>
      <c r="AQ154" s="268">
        <f t="shared" si="166"/>
        <v>0</v>
      </c>
      <c r="AR154" s="268">
        <f t="shared" si="167"/>
        <v>0</v>
      </c>
      <c r="AS154" s="268">
        <f t="shared" si="168"/>
        <v>0</v>
      </c>
      <c r="AT154" s="268">
        <f t="shared" si="169"/>
        <v>0</v>
      </c>
      <c r="AU154" s="120">
        <f t="shared" si="141"/>
        <v>0</v>
      </c>
      <c r="AW154" s="120">
        <f t="shared" si="170"/>
        <v>0</v>
      </c>
      <c r="AX154" s="120">
        <f t="shared" si="171"/>
        <v>0</v>
      </c>
      <c r="AY154" s="120">
        <f t="shared" si="172"/>
        <v>0</v>
      </c>
      <c r="AZ154" s="120">
        <f t="shared" si="173"/>
        <v>0</v>
      </c>
      <c r="BA154" s="120">
        <f t="shared" si="174"/>
        <v>0</v>
      </c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"/>
      <c r="BW154" s="1"/>
      <c r="BX154" s="1"/>
      <c r="BY154" s="1"/>
      <c r="BZ154" s="1"/>
    </row>
    <row r="155" spans="1:78" x14ac:dyDescent="0.15">
      <c r="A155" s="307">
        <v>42</v>
      </c>
      <c r="B155" s="84">
        <f t="shared" si="149"/>
        <v>0</v>
      </c>
      <c r="C155" s="660"/>
      <c r="D155" s="661"/>
      <c r="E155" s="661"/>
      <c r="F155" s="661"/>
      <c r="G155" s="661"/>
      <c r="H155" s="661"/>
      <c r="I155" s="661"/>
      <c r="J155" s="661"/>
      <c r="K155" s="661"/>
      <c r="L155" s="661"/>
      <c r="M155" s="661"/>
      <c r="N155" s="661"/>
      <c r="O155" s="661"/>
      <c r="P155" s="661"/>
      <c r="Q155" s="661"/>
      <c r="R155" s="394">
        <f t="shared" si="152"/>
        <v>0</v>
      </c>
      <c r="S155" s="395"/>
      <c r="T155" s="394">
        <f t="shared" si="150"/>
        <v>0</v>
      </c>
      <c r="U155" s="395"/>
      <c r="V155" s="433" t="str">
        <f t="shared" si="151"/>
        <v/>
      </c>
      <c r="W155" s="436"/>
      <c r="X155" s="437" t="str">
        <f t="shared" si="153"/>
        <v/>
      </c>
      <c r="AB155" s="266">
        <f t="shared" si="154"/>
        <v>0</v>
      </c>
      <c r="AC155" s="120">
        <f t="shared" si="147"/>
        <v>0</v>
      </c>
      <c r="AD155" s="120"/>
      <c r="AE155" s="120">
        <f t="shared" si="148"/>
        <v>0</v>
      </c>
      <c r="AF155" s="268">
        <f t="shared" si="155"/>
        <v>0</v>
      </c>
      <c r="AG155" s="268">
        <f t="shared" si="156"/>
        <v>0</v>
      </c>
      <c r="AH155" s="268">
        <f t="shared" si="157"/>
        <v>0</v>
      </c>
      <c r="AI155" s="268">
        <f t="shared" si="158"/>
        <v>0</v>
      </c>
      <c r="AJ155" s="268">
        <f t="shared" si="159"/>
        <v>0</v>
      </c>
      <c r="AK155" s="268">
        <f t="shared" si="160"/>
        <v>0</v>
      </c>
      <c r="AL155" s="268">
        <f t="shared" si="161"/>
        <v>0</v>
      </c>
      <c r="AM155" s="268">
        <f t="shared" si="162"/>
        <v>0</v>
      </c>
      <c r="AN155" s="268">
        <f t="shared" si="163"/>
        <v>0</v>
      </c>
      <c r="AO155" s="268">
        <f t="shared" si="164"/>
        <v>0</v>
      </c>
      <c r="AP155" s="268">
        <f t="shared" si="165"/>
        <v>0</v>
      </c>
      <c r="AQ155" s="268">
        <f t="shared" si="166"/>
        <v>0</v>
      </c>
      <c r="AR155" s="268">
        <f t="shared" si="167"/>
        <v>0</v>
      </c>
      <c r="AS155" s="268">
        <f t="shared" si="168"/>
        <v>0</v>
      </c>
      <c r="AT155" s="268">
        <f t="shared" si="169"/>
        <v>0</v>
      </c>
      <c r="AU155" s="120">
        <f t="shared" si="141"/>
        <v>0</v>
      </c>
      <c r="AW155" s="120">
        <f t="shared" si="170"/>
        <v>0</v>
      </c>
      <c r="AX155" s="120">
        <f t="shared" si="171"/>
        <v>0</v>
      </c>
      <c r="AY155" s="120">
        <f t="shared" si="172"/>
        <v>0</v>
      </c>
      <c r="AZ155" s="120">
        <f t="shared" si="173"/>
        <v>0</v>
      </c>
      <c r="BA155" s="120">
        <f t="shared" si="174"/>
        <v>0</v>
      </c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"/>
      <c r="BW155" s="1"/>
      <c r="BX155" s="1"/>
      <c r="BY155" s="1"/>
      <c r="BZ155" s="1"/>
    </row>
    <row r="156" spans="1:78" x14ac:dyDescent="0.15">
      <c r="A156" s="307">
        <v>43</v>
      </c>
      <c r="B156" s="84">
        <f t="shared" si="149"/>
        <v>0</v>
      </c>
      <c r="C156" s="660"/>
      <c r="D156" s="661"/>
      <c r="E156" s="661"/>
      <c r="F156" s="661"/>
      <c r="G156" s="661"/>
      <c r="H156" s="661"/>
      <c r="I156" s="661"/>
      <c r="J156" s="661"/>
      <c r="K156" s="661"/>
      <c r="L156" s="661"/>
      <c r="M156" s="661"/>
      <c r="N156" s="661"/>
      <c r="O156" s="661"/>
      <c r="P156" s="661"/>
      <c r="Q156" s="661"/>
      <c r="R156" s="394">
        <f t="shared" si="152"/>
        <v>0</v>
      </c>
      <c r="S156" s="395"/>
      <c r="T156" s="394">
        <f t="shared" si="150"/>
        <v>0</v>
      </c>
      <c r="U156" s="395"/>
      <c r="V156" s="433" t="str">
        <f t="shared" si="151"/>
        <v/>
      </c>
      <c r="W156" s="436"/>
      <c r="X156" s="437" t="str">
        <f t="shared" si="153"/>
        <v/>
      </c>
      <c r="AB156" s="266">
        <f t="shared" si="154"/>
        <v>0</v>
      </c>
      <c r="AC156" s="120">
        <f t="shared" si="147"/>
        <v>0</v>
      </c>
      <c r="AD156" s="120"/>
      <c r="AE156" s="120">
        <f t="shared" si="148"/>
        <v>0</v>
      </c>
      <c r="AF156" s="268">
        <f t="shared" si="155"/>
        <v>0</v>
      </c>
      <c r="AG156" s="268">
        <f t="shared" si="156"/>
        <v>0</v>
      </c>
      <c r="AH156" s="268">
        <f t="shared" si="157"/>
        <v>0</v>
      </c>
      <c r="AI156" s="268">
        <f t="shared" si="158"/>
        <v>0</v>
      </c>
      <c r="AJ156" s="268">
        <f t="shared" si="159"/>
        <v>0</v>
      </c>
      <c r="AK156" s="268">
        <f t="shared" si="160"/>
        <v>0</v>
      </c>
      <c r="AL156" s="268">
        <f t="shared" si="161"/>
        <v>0</v>
      </c>
      <c r="AM156" s="268">
        <f t="shared" si="162"/>
        <v>0</v>
      </c>
      <c r="AN156" s="268">
        <f t="shared" si="163"/>
        <v>0</v>
      </c>
      <c r="AO156" s="268">
        <f t="shared" si="164"/>
        <v>0</v>
      </c>
      <c r="AP156" s="268">
        <f t="shared" si="165"/>
        <v>0</v>
      </c>
      <c r="AQ156" s="268">
        <f t="shared" si="166"/>
        <v>0</v>
      </c>
      <c r="AR156" s="268">
        <f t="shared" si="167"/>
        <v>0</v>
      </c>
      <c r="AS156" s="268">
        <f t="shared" si="168"/>
        <v>0</v>
      </c>
      <c r="AT156" s="268">
        <f t="shared" si="169"/>
        <v>0</v>
      </c>
      <c r="AU156" s="120">
        <f t="shared" si="141"/>
        <v>0</v>
      </c>
      <c r="AW156" s="120">
        <f t="shared" si="170"/>
        <v>0</v>
      </c>
      <c r="AX156" s="120">
        <f t="shared" si="171"/>
        <v>0</v>
      </c>
      <c r="AY156" s="120">
        <f t="shared" si="172"/>
        <v>0</v>
      </c>
      <c r="AZ156" s="120">
        <f t="shared" si="173"/>
        <v>0</v>
      </c>
      <c r="BA156" s="120">
        <f t="shared" si="174"/>
        <v>0</v>
      </c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"/>
      <c r="BW156" s="1"/>
      <c r="BX156" s="1"/>
      <c r="BY156" s="1"/>
      <c r="BZ156" s="1"/>
    </row>
    <row r="157" spans="1:78" x14ac:dyDescent="0.15">
      <c r="A157" s="307">
        <v>44</v>
      </c>
      <c r="B157" s="84">
        <f t="shared" si="149"/>
        <v>0</v>
      </c>
      <c r="C157" s="660"/>
      <c r="D157" s="661"/>
      <c r="E157" s="661"/>
      <c r="F157" s="661"/>
      <c r="G157" s="661"/>
      <c r="H157" s="661"/>
      <c r="I157" s="661"/>
      <c r="J157" s="661"/>
      <c r="K157" s="661"/>
      <c r="L157" s="661"/>
      <c r="M157" s="661"/>
      <c r="N157" s="661"/>
      <c r="O157" s="661"/>
      <c r="P157" s="661"/>
      <c r="Q157" s="661"/>
      <c r="R157" s="394">
        <f t="shared" si="152"/>
        <v>0</v>
      </c>
      <c r="S157" s="395"/>
      <c r="T157" s="394">
        <f t="shared" si="150"/>
        <v>0</v>
      </c>
      <c r="U157" s="395"/>
      <c r="V157" s="433" t="str">
        <f t="shared" si="151"/>
        <v/>
      </c>
      <c r="W157" s="436"/>
      <c r="X157" s="437" t="str">
        <f t="shared" si="153"/>
        <v/>
      </c>
      <c r="AB157" s="266">
        <f t="shared" si="154"/>
        <v>0</v>
      </c>
      <c r="AC157" s="120">
        <f t="shared" si="147"/>
        <v>0</v>
      </c>
      <c r="AD157" s="120"/>
      <c r="AE157" s="120">
        <f t="shared" si="148"/>
        <v>0</v>
      </c>
      <c r="AF157" s="268">
        <f t="shared" si="155"/>
        <v>0</v>
      </c>
      <c r="AG157" s="268">
        <f t="shared" si="156"/>
        <v>0</v>
      </c>
      <c r="AH157" s="268">
        <f t="shared" si="157"/>
        <v>0</v>
      </c>
      <c r="AI157" s="268">
        <f t="shared" si="158"/>
        <v>0</v>
      </c>
      <c r="AJ157" s="268">
        <f t="shared" si="159"/>
        <v>0</v>
      </c>
      <c r="AK157" s="268">
        <f t="shared" si="160"/>
        <v>0</v>
      </c>
      <c r="AL157" s="268">
        <f t="shared" si="161"/>
        <v>0</v>
      </c>
      <c r="AM157" s="268">
        <f t="shared" si="162"/>
        <v>0</v>
      </c>
      <c r="AN157" s="268">
        <f t="shared" si="163"/>
        <v>0</v>
      </c>
      <c r="AO157" s="268">
        <f t="shared" si="164"/>
        <v>0</v>
      </c>
      <c r="AP157" s="268">
        <f t="shared" si="165"/>
        <v>0</v>
      </c>
      <c r="AQ157" s="268">
        <f t="shared" si="166"/>
        <v>0</v>
      </c>
      <c r="AR157" s="268">
        <f t="shared" si="167"/>
        <v>0</v>
      </c>
      <c r="AS157" s="268">
        <f t="shared" si="168"/>
        <v>0</v>
      </c>
      <c r="AT157" s="268">
        <f t="shared" si="169"/>
        <v>0</v>
      </c>
      <c r="AU157" s="120">
        <f t="shared" si="141"/>
        <v>0</v>
      </c>
      <c r="AW157" s="120">
        <f t="shared" si="170"/>
        <v>0</v>
      </c>
      <c r="AX157" s="120">
        <f t="shared" si="171"/>
        <v>0</v>
      </c>
      <c r="AY157" s="120">
        <f t="shared" si="172"/>
        <v>0</v>
      </c>
      <c r="AZ157" s="120">
        <f t="shared" si="173"/>
        <v>0</v>
      </c>
      <c r="BA157" s="120">
        <f t="shared" si="174"/>
        <v>0</v>
      </c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"/>
      <c r="BW157" s="1"/>
      <c r="BX157" s="1"/>
      <c r="BY157" s="1"/>
      <c r="BZ157" s="1"/>
    </row>
    <row r="158" spans="1:78" x14ac:dyDescent="0.15">
      <c r="A158" s="307">
        <v>45</v>
      </c>
      <c r="B158" s="84">
        <f t="shared" si="149"/>
        <v>0</v>
      </c>
      <c r="C158" s="660"/>
      <c r="D158" s="661"/>
      <c r="E158" s="661"/>
      <c r="F158" s="661"/>
      <c r="G158" s="661"/>
      <c r="H158" s="661"/>
      <c r="I158" s="661"/>
      <c r="J158" s="661"/>
      <c r="K158" s="661"/>
      <c r="L158" s="661"/>
      <c r="M158" s="661"/>
      <c r="N158" s="661"/>
      <c r="O158" s="661"/>
      <c r="P158" s="661"/>
      <c r="Q158" s="661"/>
      <c r="R158" s="394">
        <f t="shared" si="152"/>
        <v>0</v>
      </c>
      <c r="S158" s="395"/>
      <c r="T158" s="394">
        <f t="shared" si="150"/>
        <v>0</v>
      </c>
      <c r="U158" s="395"/>
      <c r="V158" s="433" t="str">
        <f t="shared" si="151"/>
        <v/>
      </c>
      <c r="W158" s="436"/>
      <c r="X158" s="437" t="str">
        <f t="shared" si="153"/>
        <v/>
      </c>
      <c r="AB158" s="266">
        <f t="shared" si="154"/>
        <v>0</v>
      </c>
      <c r="AC158" s="120">
        <f t="shared" si="147"/>
        <v>0</v>
      </c>
      <c r="AD158" s="120"/>
      <c r="AE158" s="120">
        <f t="shared" si="148"/>
        <v>0</v>
      </c>
      <c r="AF158" s="268">
        <f t="shared" si="155"/>
        <v>0</v>
      </c>
      <c r="AG158" s="268">
        <f t="shared" si="156"/>
        <v>0</v>
      </c>
      <c r="AH158" s="268">
        <f t="shared" si="157"/>
        <v>0</v>
      </c>
      <c r="AI158" s="268">
        <f t="shared" si="158"/>
        <v>0</v>
      </c>
      <c r="AJ158" s="268">
        <f t="shared" si="159"/>
        <v>0</v>
      </c>
      <c r="AK158" s="268">
        <f t="shared" si="160"/>
        <v>0</v>
      </c>
      <c r="AL158" s="268">
        <f t="shared" si="161"/>
        <v>0</v>
      </c>
      <c r="AM158" s="268">
        <f t="shared" si="162"/>
        <v>0</v>
      </c>
      <c r="AN158" s="268">
        <f t="shared" si="163"/>
        <v>0</v>
      </c>
      <c r="AO158" s="268">
        <f t="shared" si="164"/>
        <v>0</v>
      </c>
      <c r="AP158" s="268">
        <f t="shared" si="165"/>
        <v>0</v>
      </c>
      <c r="AQ158" s="268">
        <f t="shared" si="166"/>
        <v>0</v>
      </c>
      <c r="AR158" s="268">
        <f t="shared" si="167"/>
        <v>0</v>
      </c>
      <c r="AS158" s="268">
        <f t="shared" si="168"/>
        <v>0</v>
      </c>
      <c r="AT158" s="268">
        <f t="shared" si="169"/>
        <v>0</v>
      </c>
      <c r="AU158" s="120">
        <f t="shared" si="141"/>
        <v>0</v>
      </c>
      <c r="AW158" s="120">
        <f t="shared" si="170"/>
        <v>0</v>
      </c>
      <c r="AX158" s="120">
        <f t="shared" si="171"/>
        <v>0</v>
      </c>
      <c r="AY158" s="120">
        <f t="shared" si="172"/>
        <v>0</v>
      </c>
      <c r="AZ158" s="120">
        <f t="shared" si="173"/>
        <v>0</v>
      </c>
      <c r="BA158" s="120">
        <f t="shared" si="174"/>
        <v>0</v>
      </c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"/>
      <c r="BW158" s="1"/>
      <c r="BX158" s="1"/>
      <c r="BY158" s="1"/>
      <c r="BZ158" s="1"/>
    </row>
    <row r="159" spans="1:78" x14ac:dyDescent="0.15">
      <c r="A159" s="307">
        <v>46</v>
      </c>
      <c r="B159" s="84">
        <f t="shared" si="149"/>
        <v>0</v>
      </c>
      <c r="C159" s="660"/>
      <c r="D159" s="661"/>
      <c r="E159" s="661"/>
      <c r="F159" s="661"/>
      <c r="G159" s="661"/>
      <c r="H159" s="661"/>
      <c r="I159" s="661"/>
      <c r="J159" s="661"/>
      <c r="K159" s="661"/>
      <c r="L159" s="661"/>
      <c r="M159" s="661"/>
      <c r="N159" s="661"/>
      <c r="O159" s="661"/>
      <c r="P159" s="661"/>
      <c r="Q159" s="661"/>
      <c r="R159" s="394">
        <f t="shared" si="152"/>
        <v>0</v>
      </c>
      <c r="S159" s="395"/>
      <c r="T159" s="394">
        <f t="shared" si="150"/>
        <v>0</v>
      </c>
      <c r="U159" s="395"/>
      <c r="V159" s="433" t="str">
        <f t="shared" si="151"/>
        <v/>
      </c>
      <c r="W159" s="436"/>
      <c r="X159" s="437" t="str">
        <f t="shared" si="153"/>
        <v/>
      </c>
      <c r="AB159" s="266">
        <f t="shared" si="154"/>
        <v>0</v>
      </c>
      <c r="AC159" s="120">
        <f t="shared" si="147"/>
        <v>0</v>
      </c>
      <c r="AD159" s="120"/>
      <c r="AE159" s="120">
        <f t="shared" si="148"/>
        <v>0</v>
      </c>
      <c r="AF159" s="268">
        <f t="shared" si="155"/>
        <v>0</v>
      </c>
      <c r="AG159" s="268">
        <f t="shared" si="156"/>
        <v>0</v>
      </c>
      <c r="AH159" s="268">
        <f t="shared" si="157"/>
        <v>0</v>
      </c>
      <c r="AI159" s="268">
        <f t="shared" si="158"/>
        <v>0</v>
      </c>
      <c r="AJ159" s="268">
        <f t="shared" si="159"/>
        <v>0</v>
      </c>
      <c r="AK159" s="268">
        <f t="shared" si="160"/>
        <v>0</v>
      </c>
      <c r="AL159" s="268">
        <f t="shared" si="161"/>
        <v>0</v>
      </c>
      <c r="AM159" s="268">
        <f t="shared" si="162"/>
        <v>0</v>
      </c>
      <c r="AN159" s="268">
        <f t="shared" si="163"/>
        <v>0</v>
      </c>
      <c r="AO159" s="268">
        <f t="shared" si="164"/>
        <v>0</v>
      </c>
      <c r="AP159" s="268">
        <f t="shared" si="165"/>
        <v>0</v>
      </c>
      <c r="AQ159" s="268">
        <f t="shared" si="166"/>
        <v>0</v>
      </c>
      <c r="AR159" s="268">
        <f t="shared" si="167"/>
        <v>0</v>
      </c>
      <c r="AS159" s="268">
        <f t="shared" si="168"/>
        <v>0</v>
      </c>
      <c r="AT159" s="268">
        <f t="shared" si="169"/>
        <v>0</v>
      </c>
      <c r="AU159" s="120">
        <f t="shared" si="141"/>
        <v>0</v>
      </c>
      <c r="AW159" s="120">
        <f t="shared" si="170"/>
        <v>0</v>
      </c>
      <c r="AX159" s="120">
        <f t="shared" si="171"/>
        <v>0</v>
      </c>
      <c r="AY159" s="120">
        <f t="shared" si="172"/>
        <v>0</v>
      </c>
      <c r="AZ159" s="120">
        <f t="shared" si="173"/>
        <v>0</v>
      </c>
      <c r="BA159" s="120">
        <f t="shared" si="174"/>
        <v>0</v>
      </c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"/>
      <c r="BW159" s="1"/>
      <c r="BX159" s="1"/>
      <c r="BY159" s="1"/>
      <c r="BZ159" s="1"/>
    </row>
    <row r="160" spans="1:78" x14ac:dyDescent="0.15">
      <c r="A160" s="307">
        <v>47</v>
      </c>
      <c r="B160" s="84">
        <f t="shared" si="149"/>
        <v>0</v>
      </c>
      <c r="C160" s="660"/>
      <c r="D160" s="661"/>
      <c r="E160" s="661"/>
      <c r="F160" s="661"/>
      <c r="G160" s="661"/>
      <c r="H160" s="661"/>
      <c r="I160" s="661"/>
      <c r="J160" s="661"/>
      <c r="K160" s="661"/>
      <c r="L160" s="661"/>
      <c r="M160" s="661"/>
      <c r="N160" s="661"/>
      <c r="O160" s="661"/>
      <c r="P160" s="661"/>
      <c r="Q160" s="661"/>
      <c r="R160" s="394">
        <f t="shared" si="152"/>
        <v>0</v>
      </c>
      <c r="S160" s="395"/>
      <c r="T160" s="394">
        <f t="shared" si="150"/>
        <v>0</v>
      </c>
      <c r="U160" s="395"/>
      <c r="V160" s="433" t="str">
        <f t="shared" si="151"/>
        <v/>
      </c>
      <c r="W160" s="436"/>
      <c r="X160" s="437" t="str">
        <f t="shared" si="153"/>
        <v/>
      </c>
      <c r="AB160" s="266">
        <f t="shared" si="154"/>
        <v>0</v>
      </c>
      <c r="AC160" s="120">
        <f t="shared" si="147"/>
        <v>0</v>
      </c>
      <c r="AD160" s="120"/>
      <c r="AE160" s="120">
        <f t="shared" si="148"/>
        <v>0</v>
      </c>
      <c r="AF160" s="268">
        <f t="shared" si="155"/>
        <v>0</v>
      </c>
      <c r="AG160" s="268">
        <f t="shared" si="156"/>
        <v>0</v>
      </c>
      <c r="AH160" s="268">
        <f t="shared" si="157"/>
        <v>0</v>
      </c>
      <c r="AI160" s="268">
        <f t="shared" si="158"/>
        <v>0</v>
      </c>
      <c r="AJ160" s="268">
        <f t="shared" si="159"/>
        <v>0</v>
      </c>
      <c r="AK160" s="268">
        <f t="shared" si="160"/>
        <v>0</v>
      </c>
      <c r="AL160" s="268">
        <f t="shared" si="161"/>
        <v>0</v>
      </c>
      <c r="AM160" s="268">
        <f t="shared" si="162"/>
        <v>0</v>
      </c>
      <c r="AN160" s="268">
        <f t="shared" si="163"/>
        <v>0</v>
      </c>
      <c r="AO160" s="268">
        <f t="shared" si="164"/>
        <v>0</v>
      </c>
      <c r="AP160" s="268">
        <f t="shared" si="165"/>
        <v>0</v>
      </c>
      <c r="AQ160" s="268">
        <f t="shared" si="166"/>
        <v>0</v>
      </c>
      <c r="AR160" s="268">
        <f t="shared" si="167"/>
        <v>0</v>
      </c>
      <c r="AS160" s="268">
        <f t="shared" si="168"/>
        <v>0</v>
      </c>
      <c r="AT160" s="268">
        <f t="shared" si="169"/>
        <v>0</v>
      </c>
      <c r="AU160" s="120">
        <f t="shared" si="141"/>
        <v>0</v>
      </c>
      <c r="AW160" s="120">
        <f t="shared" si="170"/>
        <v>0</v>
      </c>
      <c r="AX160" s="120">
        <f t="shared" si="171"/>
        <v>0</v>
      </c>
      <c r="AY160" s="120">
        <f t="shared" si="172"/>
        <v>0</v>
      </c>
      <c r="AZ160" s="120">
        <f t="shared" si="173"/>
        <v>0</v>
      </c>
      <c r="BA160" s="120">
        <f t="shared" si="174"/>
        <v>0</v>
      </c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"/>
      <c r="BW160" s="1"/>
      <c r="BX160" s="1"/>
      <c r="BY160" s="1"/>
      <c r="BZ160" s="1"/>
    </row>
    <row r="161" spans="1:78" x14ac:dyDescent="0.15">
      <c r="A161" s="307">
        <v>48</v>
      </c>
      <c r="B161" s="84">
        <f t="shared" si="149"/>
        <v>0</v>
      </c>
      <c r="C161" s="660"/>
      <c r="D161" s="661"/>
      <c r="E161" s="661"/>
      <c r="F161" s="661"/>
      <c r="G161" s="661"/>
      <c r="H161" s="661"/>
      <c r="I161" s="661"/>
      <c r="J161" s="661"/>
      <c r="K161" s="661"/>
      <c r="L161" s="661"/>
      <c r="M161" s="661"/>
      <c r="N161" s="661"/>
      <c r="O161" s="661"/>
      <c r="P161" s="661"/>
      <c r="Q161" s="661"/>
      <c r="R161" s="394">
        <f t="shared" si="152"/>
        <v>0</v>
      </c>
      <c r="S161" s="395"/>
      <c r="T161" s="394">
        <f t="shared" si="150"/>
        <v>0</v>
      </c>
      <c r="U161" s="395"/>
      <c r="V161" s="433" t="str">
        <f t="shared" si="151"/>
        <v/>
      </c>
      <c r="W161" s="436"/>
      <c r="X161" s="437" t="str">
        <f t="shared" si="153"/>
        <v/>
      </c>
      <c r="AB161" s="266">
        <f t="shared" si="154"/>
        <v>0</v>
      </c>
      <c r="AC161" s="120">
        <f t="shared" si="147"/>
        <v>0</v>
      </c>
      <c r="AD161" s="120"/>
      <c r="AE161" s="120">
        <f t="shared" si="148"/>
        <v>0</v>
      </c>
      <c r="AF161" s="268">
        <f t="shared" si="155"/>
        <v>0</v>
      </c>
      <c r="AG161" s="268">
        <f t="shared" si="156"/>
        <v>0</v>
      </c>
      <c r="AH161" s="268">
        <f t="shared" si="157"/>
        <v>0</v>
      </c>
      <c r="AI161" s="268">
        <f t="shared" si="158"/>
        <v>0</v>
      </c>
      <c r="AJ161" s="268">
        <f t="shared" si="159"/>
        <v>0</v>
      </c>
      <c r="AK161" s="268">
        <f t="shared" si="160"/>
        <v>0</v>
      </c>
      <c r="AL161" s="268">
        <f t="shared" si="161"/>
        <v>0</v>
      </c>
      <c r="AM161" s="268">
        <f t="shared" si="162"/>
        <v>0</v>
      </c>
      <c r="AN161" s="268">
        <f t="shared" si="163"/>
        <v>0</v>
      </c>
      <c r="AO161" s="268">
        <f t="shared" si="164"/>
        <v>0</v>
      </c>
      <c r="AP161" s="268">
        <f t="shared" si="165"/>
        <v>0</v>
      </c>
      <c r="AQ161" s="268">
        <f t="shared" si="166"/>
        <v>0</v>
      </c>
      <c r="AR161" s="268">
        <f t="shared" si="167"/>
        <v>0</v>
      </c>
      <c r="AS161" s="268">
        <f t="shared" si="168"/>
        <v>0</v>
      </c>
      <c r="AT161" s="268">
        <f t="shared" si="169"/>
        <v>0</v>
      </c>
      <c r="AU161" s="120">
        <f t="shared" si="141"/>
        <v>0</v>
      </c>
      <c r="AW161" s="120">
        <f t="shared" si="170"/>
        <v>0</v>
      </c>
      <c r="AX161" s="120">
        <f t="shared" si="171"/>
        <v>0</v>
      </c>
      <c r="AY161" s="120">
        <f t="shared" si="172"/>
        <v>0</v>
      </c>
      <c r="AZ161" s="120">
        <f t="shared" si="173"/>
        <v>0</v>
      </c>
      <c r="BA161" s="120">
        <f t="shared" si="174"/>
        <v>0</v>
      </c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"/>
      <c r="BW161" s="1"/>
      <c r="BX161" s="1"/>
      <c r="BY161" s="1"/>
      <c r="BZ161" s="1"/>
    </row>
    <row r="162" spans="1:78" x14ac:dyDescent="0.15">
      <c r="A162" s="307">
        <v>49</v>
      </c>
      <c r="B162" s="84">
        <f t="shared" si="149"/>
        <v>0</v>
      </c>
      <c r="C162" s="660"/>
      <c r="D162" s="661"/>
      <c r="E162" s="661"/>
      <c r="F162" s="661"/>
      <c r="G162" s="661"/>
      <c r="H162" s="661"/>
      <c r="I162" s="661"/>
      <c r="J162" s="661"/>
      <c r="K162" s="661"/>
      <c r="L162" s="661"/>
      <c r="M162" s="661"/>
      <c r="N162" s="661"/>
      <c r="O162" s="661"/>
      <c r="P162" s="661"/>
      <c r="Q162" s="661"/>
      <c r="R162" s="394">
        <f t="shared" si="152"/>
        <v>0</v>
      </c>
      <c r="S162" s="395"/>
      <c r="T162" s="394">
        <f t="shared" si="150"/>
        <v>0</v>
      </c>
      <c r="U162" s="395"/>
      <c r="V162" s="433" t="str">
        <f t="shared" si="151"/>
        <v/>
      </c>
      <c r="W162" s="436"/>
      <c r="X162" s="437" t="str">
        <f t="shared" si="153"/>
        <v/>
      </c>
      <c r="AB162" s="266">
        <f t="shared" si="154"/>
        <v>0</v>
      </c>
      <c r="AC162" s="120">
        <f t="shared" si="147"/>
        <v>0</v>
      </c>
      <c r="AD162" s="120"/>
      <c r="AE162" s="120">
        <f t="shared" si="148"/>
        <v>0</v>
      </c>
      <c r="AF162" s="268">
        <f t="shared" si="155"/>
        <v>0</v>
      </c>
      <c r="AG162" s="268">
        <f t="shared" si="156"/>
        <v>0</v>
      </c>
      <c r="AH162" s="268">
        <f t="shared" si="157"/>
        <v>0</v>
      </c>
      <c r="AI162" s="268">
        <f t="shared" si="158"/>
        <v>0</v>
      </c>
      <c r="AJ162" s="268">
        <f t="shared" si="159"/>
        <v>0</v>
      </c>
      <c r="AK162" s="268">
        <f t="shared" si="160"/>
        <v>0</v>
      </c>
      <c r="AL162" s="268">
        <f t="shared" si="161"/>
        <v>0</v>
      </c>
      <c r="AM162" s="268">
        <f t="shared" si="162"/>
        <v>0</v>
      </c>
      <c r="AN162" s="268">
        <f t="shared" si="163"/>
        <v>0</v>
      </c>
      <c r="AO162" s="268">
        <f t="shared" si="164"/>
        <v>0</v>
      </c>
      <c r="AP162" s="268">
        <f t="shared" si="165"/>
        <v>0</v>
      </c>
      <c r="AQ162" s="268">
        <f t="shared" si="166"/>
        <v>0</v>
      </c>
      <c r="AR162" s="268">
        <f t="shared" si="167"/>
        <v>0</v>
      </c>
      <c r="AS162" s="268">
        <f t="shared" si="168"/>
        <v>0</v>
      </c>
      <c r="AT162" s="268">
        <f t="shared" si="169"/>
        <v>0</v>
      </c>
      <c r="AU162" s="120">
        <f t="shared" si="141"/>
        <v>0</v>
      </c>
      <c r="AW162" s="120">
        <f t="shared" si="170"/>
        <v>0</v>
      </c>
      <c r="AX162" s="120">
        <f t="shared" si="171"/>
        <v>0</v>
      </c>
      <c r="AY162" s="120">
        <f t="shared" si="172"/>
        <v>0</v>
      </c>
      <c r="AZ162" s="120">
        <f t="shared" si="173"/>
        <v>0</v>
      </c>
      <c r="BA162" s="120">
        <f t="shared" si="174"/>
        <v>0</v>
      </c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"/>
      <c r="BW162" s="1"/>
      <c r="BX162" s="1"/>
      <c r="BY162" s="1"/>
      <c r="BZ162" s="1"/>
    </row>
    <row r="163" spans="1:78" ht="14" thickBot="1" x14ac:dyDescent="0.2">
      <c r="A163" s="308">
        <v>50</v>
      </c>
      <c r="B163" s="190">
        <f t="shared" si="149"/>
        <v>0</v>
      </c>
      <c r="C163" s="662"/>
      <c r="D163" s="663"/>
      <c r="E163" s="663"/>
      <c r="F163" s="663"/>
      <c r="G163" s="663"/>
      <c r="H163" s="663"/>
      <c r="I163" s="663"/>
      <c r="J163" s="663"/>
      <c r="K163" s="663"/>
      <c r="L163" s="663"/>
      <c r="M163" s="663"/>
      <c r="N163" s="663"/>
      <c r="O163" s="663"/>
      <c r="P163" s="663"/>
      <c r="Q163" s="663"/>
      <c r="R163" s="471">
        <f t="shared" si="152"/>
        <v>0</v>
      </c>
      <c r="S163" s="472"/>
      <c r="T163" s="471">
        <f t="shared" si="150"/>
        <v>0</v>
      </c>
      <c r="U163" s="472"/>
      <c r="V163" s="473" t="str">
        <f t="shared" si="151"/>
        <v/>
      </c>
      <c r="W163" s="474"/>
      <c r="X163" s="475" t="str">
        <f t="shared" si="153"/>
        <v/>
      </c>
      <c r="AB163" s="266">
        <f t="shared" si="154"/>
        <v>0</v>
      </c>
      <c r="AC163" s="120">
        <f t="shared" si="147"/>
        <v>0</v>
      </c>
      <c r="AD163" s="120"/>
      <c r="AE163" s="120">
        <f t="shared" si="148"/>
        <v>0</v>
      </c>
      <c r="AF163" s="268">
        <f t="shared" si="155"/>
        <v>0</v>
      </c>
      <c r="AG163" s="268">
        <f t="shared" si="156"/>
        <v>0</v>
      </c>
      <c r="AH163" s="268">
        <f t="shared" si="157"/>
        <v>0</v>
      </c>
      <c r="AI163" s="268">
        <f t="shared" si="158"/>
        <v>0</v>
      </c>
      <c r="AJ163" s="268">
        <f t="shared" si="159"/>
        <v>0</v>
      </c>
      <c r="AK163" s="268">
        <f t="shared" si="160"/>
        <v>0</v>
      </c>
      <c r="AL163" s="268">
        <f t="shared" si="161"/>
        <v>0</v>
      </c>
      <c r="AM163" s="268">
        <f t="shared" si="162"/>
        <v>0</v>
      </c>
      <c r="AN163" s="268">
        <f t="shared" si="163"/>
        <v>0</v>
      </c>
      <c r="AO163" s="268">
        <f t="shared" si="164"/>
        <v>0</v>
      </c>
      <c r="AP163" s="268">
        <f t="shared" si="165"/>
        <v>0</v>
      </c>
      <c r="AQ163" s="268">
        <f t="shared" si="166"/>
        <v>0</v>
      </c>
      <c r="AR163" s="268">
        <f t="shared" si="167"/>
        <v>0</v>
      </c>
      <c r="AS163" s="268">
        <f t="shared" si="168"/>
        <v>0</v>
      </c>
      <c r="AT163" s="268">
        <f t="shared" si="169"/>
        <v>0</v>
      </c>
      <c r="AU163" s="120">
        <f t="shared" si="141"/>
        <v>0</v>
      </c>
      <c r="AW163" s="120">
        <f t="shared" si="170"/>
        <v>0</v>
      </c>
      <c r="AX163" s="120">
        <f t="shared" si="171"/>
        <v>0</v>
      </c>
      <c r="AY163" s="120">
        <f t="shared" si="172"/>
        <v>0</v>
      </c>
      <c r="AZ163" s="120">
        <f t="shared" si="173"/>
        <v>0</v>
      </c>
      <c r="BA163" s="120">
        <f t="shared" si="174"/>
        <v>0</v>
      </c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"/>
      <c r="BW163" s="1"/>
      <c r="BX163" s="1"/>
      <c r="BY163" s="1"/>
      <c r="BZ163" s="1"/>
    </row>
    <row r="164" spans="1:78" ht="14" thickBot="1" x14ac:dyDescent="0.2">
      <c r="B164" s="36" t="s">
        <v>266</v>
      </c>
      <c r="C164" s="476">
        <f>SUM(C114:C163)</f>
        <v>0</v>
      </c>
      <c r="D164" s="476">
        <f t="shared" ref="D164:Q164" si="175">SUM(D114:D163)</f>
        <v>0</v>
      </c>
      <c r="E164" s="476">
        <f t="shared" si="175"/>
        <v>0</v>
      </c>
      <c r="F164" s="476">
        <f t="shared" si="175"/>
        <v>0</v>
      </c>
      <c r="G164" s="476">
        <f t="shared" si="175"/>
        <v>0</v>
      </c>
      <c r="H164" s="476">
        <f t="shared" si="175"/>
        <v>0</v>
      </c>
      <c r="I164" s="476">
        <f t="shared" si="175"/>
        <v>0</v>
      </c>
      <c r="J164" s="476">
        <f t="shared" si="175"/>
        <v>0</v>
      </c>
      <c r="K164" s="476">
        <f t="shared" si="175"/>
        <v>0</v>
      </c>
      <c r="L164" s="476">
        <f t="shared" si="175"/>
        <v>0</v>
      </c>
      <c r="M164" s="476">
        <f t="shared" si="175"/>
        <v>0</v>
      </c>
      <c r="N164" s="476">
        <f t="shared" si="175"/>
        <v>0</v>
      </c>
      <c r="O164" s="476">
        <f t="shared" si="175"/>
        <v>0</v>
      </c>
      <c r="P164" s="476">
        <f t="shared" si="175"/>
        <v>0</v>
      </c>
      <c r="Q164" s="476">
        <f t="shared" si="175"/>
        <v>0</v>
      </c>
      <c r="R164" s="705">
        <f>SUM(R114:R163)</f>
        <v>0</v>
      </c>
      <c r="S164" s="706"/>
      <c r="T164" s="707"/>
      <c r="U164" s="477"/>
      <c r="V164" s="253"/>
      <c r="W164" s="253"/>
      <c r="AB164" s="120"/>
      <c r="AC164" s="120"/>
      <c r="AD164" s="120"/>
      <c r="AE164" s="120"/>
      <c r="AF164" s="306">
        <f>SUM(AF114:AF163)</f>
        <v>0</v>
      </c>
      <c r="AG164" s="306">
        <f t="shared" ref="AG164:AT164" si="176">SUM(AG114:AG163)</f>
        <v>0</v>
      </c>
      <c r="AH164" s="306">
        <f t="shared" si="176"/>
        <v>0</v>
      </c>
      <c r="AI164" s="306">
        <f t="shared" si="176"/>
        <v>0</v>
      </c>
      <c r="AJ164" s="306">
        <f t="shared" si="176"/>
        <v>0</v>
      </c>
      <c r="AK164" s="306">
        <f t="shared" si="176"/>
        <v>0</v>
      </c>
      <c r="AL164" s="306">
        <f t="shared" si="176"/>
        <v>0</v>
      </c>
      <c r="AM164" s="306">
        <f t="shared" si="176"/>
        <v>0</v>
      </c>
      <c r="AN164" s="306">
        <f t="shared" si="176"/>
        <v>0</v>
      </c>
      <c r="AO164" s="306">
        <f t="shared" si="176"/>
        <v>0</v>
      </c>
      <c r="AP164" s="306">
        <f t="shared" si="176"/>
        <v>0</v>
      </c>
      <c r="AQ164" s="306">
        <f t="shared" si="176"/>
        <v>0</v>
      </c>
      <c r="AR164" s="306">
        <f t="shared" si="176"/>
        <v>0</v>
      </c>
      <c r="AS164" s="306">
        <f t="shared" si="176"/>
        <v>0</v>
      </c>
      <c r="AT164" s="306">
        <f t="shared" si="176"/>
        <v>0</v>
      </c>
      <c r="AU164" s="120">
        <f>SUM(AF164:AT164)</f>
        <v>0</v>
      </c>
      <c r="AW164" s="120"/>
      <c r="AX164" s="120"/>
      <c r="AY164" s="120"/>
      <c r="AZ164" s="120"/>
      <c r="BA164" s="120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"/>
      <c r="BW164" s="1"/>
      <c r="BX164" s="1"/>
      <c r="BY164" s="1"/>
      <c r="BZ164" s="1"/>
    </row>
    <row r="165" spans="1:78" ht="14" thickTop="1" x14ac:dyDescent="0.15">
      <c r="A165" s="6"/>
      <c r="B165" s="12" t="s">
        <v>251</v>
      </c>
      <c r="C165" s="476">
        <v>1</v>
      </c>
      <c r="D165" s="476">
        <v>2</v>
      </c>
      <c r="E165" s="476">
        <v>3</v>
      </c>
      <c r="F165" s="476">
        <v>4</v>
      </c>
      <c r="G165" s="476">
        <v>5</v>
      </c>
      <c r="H165" s="476">
        <v>6</v>
      </c>
      <c r="I165" s="476">
        <v>7</v>
      </c>
      <c r="J165" s="476">
        <v>8</v>
      </c>
      <c r="K165" s="476">
        <v>9</v>
      </c>
      <c r="L165" s="476">
        <v>10</v>
      </c>
      <c r="M165" s="476">
        <v>11</v>
      </c>
      <c r="N165" s="476">
        <v>12</v>
      </c>
      <c r="O165" s="476">
        <v>13</v>
      </c>
      <c r="P165" s="476">
        <v>14</v>
      </c>
      <c r="Q165" s="702">
        <v>15</v>
      </c>
      <c r="R165" s="708"/>
      <c r="S165" s="704"/>
      <c r="T165" s="704"/>
      <c r="U165" s="703"/>
      <c r="V165" s="253"/>
      <c r="W165" s="253"/>
      <c r="AB165" s="120"/>
      <c r="AC165" s="120"/>
      <c r="AD165" s="120"/>
      <c r="AE165" s="120"/>
      <c r="AF165" s="306">
        <f>C165</f>
        <v>1</v>
      </c>
      <c r="AG165" s="306">
        <f t="shared" ref="AG165:AT166" si="177">D165</f>
        <v>2</v>
      </c>
      <c r="AH165" s="306">
        <f t="shared" si="177"/>
        <v>3</v>
      </c>
      <c r="AI165" s="306">
        <f t="shared" si="177"/>
        <v>4</v>
      </c>
      <c r="AJ165" s="306">
        <f t="shared" si="177"/>
        <v>5</v>
      </c>
      <c r="AK165" s="306">
        <f t="shared" si="177"/>
        <v>6</v>
      </c>
      <c r="AL165" s="306">
        <f t="shared" si="177"/>
        <v>7</v>
      </c>
      <c r="AM165" s="306">
        <f t="shared" si="177"/>
        <v>8</v>
      </c>
      <c r="AN165" s="306">
        <f t="shared" si="177"/>
        <v>9</v>
      </c>
      <c r="AO165" s="306">
        <f t="shared" si="177"/>
        <v>10</v>
      </c>
      <c r="AP165" s="306">
        <f t="shared" si="177"/>
        <v>11</v>
      </c>
      <c r="AQ165" s="306">
        <f t="shared" si="177"/>
        <v>12</v>
      </c>
      <c r="AR165" s="306">
        <f t="shared" si="177"/>
        <v>13</v>
      </c>
      <c r="AS165" s="306">
        <f t="shared" si="177"/>
        <v>14</v>
      </c>
      <c r="AT165" s="306">
        <f t="shared" si="177"/>
        <v>15</v>
      </c>
      <c r="AU165" s="120"/>
      <c r="AW165" s="120"/>
      <c r="AX165" s="120"/>
      <c r="AY165" s="120"/>
      <c r="AZ165" s="120"/>
      <c r="BA165" s="120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"/>
      <c r="BW165" s="1"/>
      <c r="BX165" s="1"/>
      <c r="BY165" s="1"/>
      <c r="BZ165" s="1"/>
    </row>
    <row r="166" spans="1:78" x14ac:dyDescent="0.15">
      <c r="A166" s="6"/>
      <c r="B166" s="709" t="s">
        <v>513</v>
      </c>
      <c r="C166" s="476">
        <f>V65</f>
        <v>0</v>
      </c>
      <c r="D166" s="476">
        <f>V66</f>
        <v>0</v>
      </c>
      <c r="E166" s="476">
        <f>V67</f>
        <v>0</v>
      </c>
      <c r="F166" s="476">
        <f>V68</f>
        <v>0</v>
      </c>
      <c r="G166" s="476">
        <f>V69</f>
        <v>0</v>
      </c>
      <c r="H166" s="476">
        <f>V70</f>
        <v>0</v>
      </c>
      <c r="I166" s="476">
        <f>V71</f>
        <v>0</v>
      </c>
      <c r="J166" s="476">
        <f>V72</f>
        <v>0</v>
      </c>
      <c r="K166" s="476">
        <f>V73</f>
        <v>0</v>
      </c>
      <c r="L166" s="476">
        <f>V74</f>
        <v>0</v>
      </c>
      <c r="M166" s="476">
        <f>V75</f>
        <v>0</v>
      </c>
      <c r="N166" s="476">
        <f>V76</f>
        <v>0</v>
      </c>
      <c r="O166" s="476">
        <f>V77</f>
        <v>0</v>
      </c>
      <c r="P166" s="476">
        <f>V78</f>
        <v>0</v>
      </c>
      <c r="Q166" s="476">
        <f>V79</f>
        <v>0</v>
      </c>
      <c r="R166" s="373"/>
      <c r="S166" s="369"/>
      <c r="T166" s="369"/>
      <c r="U166" s="369"/>
      <c r="V166" s="369"/>
      <c r="W166" s="369"/>
      <c r="Y166" s="718" t="s">
        <v>504</v>
      </c>
      <c r="AB166" s="120"/>
      <c r="AC166" s="120"/>
      <c r="AD166" s="120"/>
      <c r="AE166" s="120"/>
      <c r="AF166" s="306">
        <f>C166</f>
        <v>0</v>
      </c>
      <c r="AG166" s="306">
        <f t="shared" si="177"/>
        <v>0</v>
      </c>
      <c r="AH166" s="306">
        <f t="shared" si="177"/>
        <v>0</v>
      </c>
      <c r="AI166" s="306">
        <f t="shared" si="177"/>
        <v>0</v>
      </c>
      <c r="AJ166" s="306">
        <f t="shared" si="177"/>
        <v>0</v>
      </c>
      <c r="AK166" s="306">
        <f t="shared" si="177"/>
        <v>0</v>
      </c>
      <c r="AL166" s="306">
        <f t="shared" si="177"/>
        <v>0</v>
      </c>
      <c r="AM166" s="306">
        <f t="shared" si="177"/>
        <v>0</v>
      </c>
      <c r="AN166" s="306">
        <f t="shared" si="177"/>
        <v>0</v>
      </c>
      <c r="AO166" s="306">
        <f t="shared" si="177"/>
        <v>0</v>
      </c>
      <c r="AP166" s="306">
        <f t="shared" si="177"/>
        <v>0</v>
      </c>
      <c r="AQ166" s="306">
        <f t="shared" si="177"/>
        <v>0</v>
      </c>
      <c r="AR166" s="306">
        <f t="shared" si="177"/>
        <v>0</v>
      </c>
      <c r="AS166" s="306">
        <f t="shared" si="177"/>
        <v>0</v>
      </c>
      <c r="AT166" s="306">
        <f t="shared" si="177"/>
        <v>0</v>
      </c>
      <c r="AU166" s="120"/>
      <c r="AW166" s="120"/>
      <c r="AX166" s="120"/>
      <c r="AY166" s="120"/>
      <c r="AZ166" s="120"/>
      <c r="BA166" s="120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"/>
      <c r="BW166" s="1"/>
      <c r="BX166" s="1"/>
      <c r="BY166" s="1"/>
      <c r="BZ166" s="1"/>
    </row>
    <row r="167" spans="1:78" x14ac:dyDescent="0.15">
      <c r="A167" s="6"/>
      <c r="B167" s="6"/>
      <c r="C167" s="6"/>
      <c r="D167" s="6"/>
      <c r="E167" s="6"/>
      <c r="F167" s="6"/>
      <c r="G167" s="6"/>
      <c r="H167" s="12"/>
      <c r="I167" s="429"/>
      <c r="J167" s="429"/>
      <c r="K167" s="429"/>
      <c r="L167" s="429"/>
      <c r="M167" s="429"/>
      <c r="N167" s="429"/>
      <c r="O167" s="429"/>
      <c r="P167" s="429"/>
      <c r="Q167" s="373"/>
      <c r="R167" s="369"/>
      <c r="S167" s="369"/>
      <c r="T167" s="369"/>
      <c r="U167" s="369"/>
      <c r="V167" s="369"/>
      <c r="W167" s="369"/>
      <c r="AB167" s="120"/>
      <c r="AC167" s="120"/>
      <c r="AD167" s="120"/>
      <c r="AE167" s="120"/>
      <c r="AF167" s="120">
        <f>IF(AF166&gt;1,MAX(AF114:AF163),AF164)</f>
        <v>0</v>
      </c>
      <c r="AG167" s="120">
        <f t="shared" ref="AG167:AN167" si="178">IF(AG166&gt;1,MAX(AG114:AG163),AG164)</f>
        <v>0</v>
      </c>
      <c r="AH167" s="120">
        <f t="shared" si="178"/>
        <v>0</v>
      </c>
      <c r="AI167" s="120">
        <f t="shared" si="178"/>
        <v>0</v>
      </c>
      <c r="AJ167" s="120">
        <f t="shared" si="178"/>
        <v>0</v>
      </c>
      <c r="AK167" s="120">
        <f t="shared" si="178"/>
        <v>0</v>
      </c>
      <c r="AL167" s="120">
        <f t="shared" si="178"/>
        <v>0</v>
      </c>
      <c r="AM167" s="120">
        <f t="shared" si="178"/>
        <v>0</v>
      </c>
      <c r="AN167" s="120">
        <f t="shared" si="178"/>
        <v>0</v>
      </c>
      <c r="AO167" s="120">
        <f t="shared" ref="AO167:AT167" si="179">IF(AO166&gt;1,MAX(AO114:AO163),AO164)</f>
        <v>0</v>
      </c>
      <c r="AP167" s="120">
        <f t="shared" si="179"/>
        <v>0</v>
      </c>
      <c r="AQ167" s="120">
        <f t="shared" si="179"/>
        <v>0</v>
      </c>
      <c r="AR167" s="120">
        <f t="shared" si="179"/>
        <v>0</v>
      </c>
      <c r="AS167" s="120">
        <f t="shared" si="179"/>
        <v>0</v>
      </c>
      <c r="AT167" s="120">
        <f t="shared" si="179"/>
        <v>0</v>
      </c>
      <c r="AU167" s="120">
        <f>SUM(AF167:AT167)</f>
        <v>0</v>
      </c>
      <c r="AW167" s="120"/>
      <c r="AX167" s="120"/>
      <c r="AY167" s="120"/>
      <c r="AZ167" s="120"/>
      <c r="BA167" s="120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"/>
      <c r="BW167" s="1"/>
      <c r="BX167" s="1"/>
      <c r="BY167" s="1"/>
      <c r="BZ167" s="1"/>
    </row>
    <row r="168" spans="1:78" ht="20" x14ac:dyDescent="0.2">
      <c r="A168" s="523" t="s">
        <v>413</v>
      </c>
      <c r="B168" s="521"/>
      <c r="C168" s="521"/>
      <c r="D168" s="521"/>
      <c r="E168" s="522"/>
      <c r="F168" s="522"/>
      <c r="G168" s="12"/>
      <c r="H168" s="12"/>
      <c r="I168" s="429"/>
      <c r="J168" s="429"/>
      <c r="K168" s="429"/>
      <c r="L168" s="429"/>
      <c r="M168" s="429"/>
      <c r="N168" s="429"/>
      <c r="O168" s="429"/>
      <c r="P168" s="429"/>
      <c r="Q168" s="373"/>
      <c r="R168" s="369"/>
      <c r="S168" s="370"/>
      <c r="T168" s="370"/>
      <c r="U168" s="370"/>
      <c r="V168" s="370"/>
      <c r="W168" s="370"/>
      <c r="X168" s="116"/>
      <c r="Y168" s="714" t="str">
        <f>MID([1]Persona!$D$12,1,25)</f>
        <v/>
      </c>
      <c r="Z168" s="116"/>
      <c r="AB168" s="120"/>
      <c r="AO168" s="1"/>
      <c r="AP168" s="1"/>
      <c r="AQ168" s="1"/>
      <c r="AR168" s="1"/>
      <c r="AS168" s="1"/>
      <c r="AT168" s="1"/>
      <c r="AU168" s="1"/>
      <c r="AV168" s="1"/>
      <c r="AW168" s="1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"/>
      <c r="BW168" s="1"/>
      <c r="BX168" s="1"/>
      <c r="BY168" s="1"/>
      <c r="BZ168" s="1"/>
    </row>
    <row r="169" spans="1:78" x14ac:dyDescent="0.15">
      <c r="A169" s="46"/>
      <c r="B169" s="46"/>
      <c r="C169" s="46"/>
      <c r="D169" s="46"/>
      <c r="E169" s="8"/>
      <c r="F169" s="8"/>
      <c r="G169" s="8"/>
      <c r="H169" s="512"/>
      <c r="I169" s="513"/>
      <c r="J169" s="513"/>
      <c r="K169" s="513"/>
      <c r="L169" s="429"/>
      <c r="M169" s="429"/>
      <c r="N169" s="429"/>
      <c r="O169" s="429"/>
      <c r="P169" s="429"/>
      <c r="Q169" s="373"/>
      <c r="R169" s="369"/>
      <c r="S169" s="372"/>
      <c r="T169" s="372"/>
      <c r="U169" s="372"/>
      <c r="V169" s="372"/>
      <c r="W169" s="372"/>
      <c r="AB169" s="120"/>
      <c r="AO169" s="1"/>
      <c r="AP169" s="1"/>
      <c r="AQ169" s="1"/>
      <c r="AR169" s="1"/>
      <c r="AS169" s="1"/>
      <c r="AT169" s="1"/>
      <c r="AU169" s="1"/>
      <c r="AV169" s="1"/>
      <c r="AW169" s="1"/>
      <c r="BR169" s="1"/>
      <c r="BW169" s="1"/>
      <c r="BX169" s="1"/>
      <c r="BY169" s="1"/>
      <c r="BZ169" s="1"/>
    </row>
    <row r="170" spans="1:78" ht="14" thickBot="1" x14ac:dyDescent="0.2">
      <c r="A170" s="799" t="s">
        <v>207</v>
      </c>
      <c r="B170" s="800"/>
      <c r="C170" s="143" t="s">
        <v>254</v>
      </c>
      <c r="D170" s="32" t="s">
        <v>399</v>
      </c>
      <c r="E170" s="31" t="s">
        <v>269</v>
      </c>
      <c r="F170" s="144"/>
      <c r="G170" s="144"/>
      <c r="H170" s="514" t="s">
        <v>249</v>
      </c>
      <c r="I170" s="515"/>
      <c r="J170" s="514" t="s">
        <v>148</v>
      </c>
      <c r="K170" s="515"/>
      <c r="L170" s="514" t="s">
        <v>436</v>
      </c>
      <c r="M170" s="515"/>
      <c r="N170" s="514" t="s">
        <v>435</v>
      </c>
      <c r="O170" s="515"/>
      <c r="P170" s="429"/>
      <c r="Q170" s="540" t="str">
        <f>Q2</f>
        <v/>
      </c>
      <c r="AB170" s="120" t="s">
        <v>143</v>
      </c>
      <c r="AO170" s="1"/>
      <c r="AP170" s="1"/>
      <c r="AQ170" s="1"/>
      <c r="AR170" s="1"/>
      <c r="AS170" s="1"/>
      <c r="AT170" s="1"/>
      <c r="AU170" s="1"/>
      <c r="AV170" s="1"/>
      <c r="AW170" s="1"/>
      <c r="BR170" s="1"/>
      <c r="BW170" s="1"/>
      <c r="BX170" s="1"/>
      <c r="BY170" s="1"/>
      <c r="BZ170" s="1"/>
    </row>
    <row r="171" spans="1:78" x14ac:dyDescent="0.15">
      <c r="A171" s="518">
        <v>1</v>
      </c>
      <c r="B171" s="664"/>
      <c r="C171" s="665"/>
      <c r="D171" s="666"/>
      <c r="E171" s="516" t="str">
        <f>IF(D171="","",LOOKUP(D171,$A$4:$A$53,$B$4:$B$53))</f>
        <v/>
      </c>
      <c r="F171" s="493"/>
      <c r="G171" s="493"/>
      <c r="H171" s="807"/>
      <c r="I171" s="808"/>
      <c r="J171" s="761">
        <f t="shared" ref="J171:J195" si="180">IF(D171="",0,LOOKUP(D171,$A$4:$A$53,$Z$4:$Z$53))*AB171</f>
        <v>0</v>
      </c>
      <c r="K171" s="762"/>
      <c r="L171" s="761">
        <f t="shared" ref="L171:L177" si="181">IF(D171="",0,LOOKUP(D171,$A$4:$A$53,$L$4:$L$53))*H171</f>
        <v>0</v>
      </c>
      <c r="M171" s="762"/>
      <c r="N171" s="761">
        <f t="shared" ref="N171:N177" si="182">IF(D171="",0,LOOKUP(D171,$A$4:$A$53,$V$4:$V$53))*H171</f>
        <v>0</v>
      </c>
      <c r="O171" s="763"/>
      <c r="P171" s="429"/>
      <c r="Q171" s="373"/>
      <c r="R171" s="369"/>
      <c r="AB171" s="510">
        <f>$C$172*H171</f>
        <v>0</v>
      </c>
      <c r="AO171" s="1"/>
      <c r="AP171" s="1"/>
      <c r="AQ171" s="1"/>
      <c r="AR171" s="1"/>
      <c r="AS171" s="1"/>
      <c r="AT171" s="1"/>
      <c r="AU171" s="1"/>
      <c r="AV171" s="1"/>
      <c r="AW171" s="1"/>
      <c r="BR171" s="1"/>
      <c r="BW171" s="1"/>
      <c r="BX171" s="1"/>
      <c r="BY171" s="1"/>
      <c r="BZ171" s="1"/>
    </row>
    <row r="172" spans="1:78" x14ac:dyDescent="0.15">
      <c r="A172" s="5"/>
      <c r="B172" s="6"/>
      <c r="C172" s="539">
        <f>IF(Prezzi!N46="",C171,Prezzi!N46)</f>
        <v>0</v>
      </c>
      <c r="D172" s="666"/>
      <c r="E172" s="516" t="str">
        <f t="shared" ref="E172:E195" si="183">IF(D172="","",LOOKUP(D172,$A$4:$A$53,$B$4:$B$53))</f>
        <v/>
      </c>
      <c r="F172" s="493"/>
      <c r="G172" s="493"/>
      <c r="H172" s="805"/>
      <c r="I172" s="806"/>
      <c r="J172" s="755">
        <f t="shared" si="180"/>
        <v>0</v>
      </c>
      <c r="K172" s="757"/>
      <c r="L172" s="755">
        <f t="shared" si="181"/>
        <v>0</v>
      </c>
      <c r="M172" s="757"/>
      <c r="N172" s="755">
        <f t="shared" si="182"/>
        <v>0</v>
      </c>
      <c r="O172" s="756"/>
      <c r="U172" s="533"/>
      <c r="V172" s="533"/>
      <c r="W172" s="533"/>
      <c r="X172" s="533"/>
      <c r="AB172" s="510">
        <f>$C$172*H172</f>
        <v>0</v>
      </c>
      <c r="AO172" s="1"/>
      <c r="AP172" s="1"/>
      <c r="AQ172" s="1"/>
      <c r="AR172" s="1"/>
      <c r="AS172" s="1"/>
      <c r="AT172" s="1"/>
      <c r="AU172" s="1"/>
      <c r="AV172" s="1"/>
      <c r="AW172" s="1"/>
      <c r="BR172" s="1"/>
      <c r="BW172" s="1"/>
      <c r="BX172" s="1"/>
      <c r="BY172" s="1"/>
      <c r="BZ172" s="1"/>
    </row>
    <row r="173" spans="1:78" x14ac:dyDescent="0.15">
      <c r="A173" s="5"/>
      <c r="B173" s="6" t="s">
        <v>437</v>
      </c>
      <c r="D173" s="666"/>
      <c r="E173" s="516" t="str">
        <f t="shared" si="183"/>
        <v/>
      </c>
      <c r="F173" s="493"/>
      <c r="G173" s="493"/>
      <c r="H173" s="805"/>
      <c r="I173" s="806"/>
      <c r="J173" s="755">
        <f t="shared" si="180"/>
        <v>0</v>
      </c>
      <c r="K173" s="757"/>
      <c r="L173" s="755">
        <f t="shared" si="181"/>
        <v>0</v>
      </c>
      <c r="M173" s="757"/>
      <c r="N173" s="755">
        <f t="shared" si="182"/>
        <v>0</v>
      </c>
      <c r="O173" s="756"/>
      <c r="AB173" s="510">
        <f>$C$172*H173</f>
        <v>0</v>
      </c>
      <c r="AO173" s="1"/>
      <c r="AP173" s="1"/>
      <c r="AQ173" s="1"/>
      <c r="AR173" s="1"/>
      <c r="AS173" s="1"/>
      <c r="AT173" s="1"/>
      <c r="AU173" s="1"/>
      <c r="AV173" s="1"/>
      <c r="AW173" s="1"/>
      <c r="BR173" s="1"/>
      <c r="BW173" s="1"/>
      <c r="BX173" s="1"/>
      <c r="BY173" s="1"/>
      <c r="BZ173" s="1"/>
    </row>
    <row r="174" spans="1:78" x14ac:dyDescent="0.15">
      <c r="A174" s="5"/>
      <c r="B174" s="602">
        <f>SUM(N171:O175)</f>
        <v>0</v>
      </c>
      <c r="D174" s="666"/>
      <c r="E174" s="516" t="str">
        <f t="shared" si="183"/>
        <v/>
      </c>
      <c r="F174" s="493"/>
      <c r="G174" s="493"/>
      <c r="H174" s="805"/>
      <c r="I174" s="806"/>
      <c r="J174" s="755">
        <f t="shared" si="180"/>
        <v>0</v>
      </c>
      <c r="K174" s="757"/>
      <c r="L174" s="755">
        <f t="shared" si="181"/>
        <v>0</v>
      </c>
      <c r="M174" s="757"/>
      <c r="N174" s="755">
        <f t="shared" si="182"/>
        <v>0</v>
      </c>
      <c r="O174" s="756"/>
      <c r="V174" s="443" t="s">
        <v>411</v>
      </c>
      <c r="W174" s="809">
        <f>IF(SUM(AB171:AB175)=0,0,($T$107/M$202)/SUM(J171:J175))</f>
        <v>0</v>
      </c>
      <c r="X174" s="809"/>
      <c r="AB174" s="510">
        <f>$C$172*H174</f>
        <v>0</v>
      </c>
      <c r="AO174" s="1"/>
      <c r="AP174" s="1"/>
      <c r="AQ174" s="1"/>
      <c r="AR174" s="1"/>
      <c r="AS174" s="1"/>
      <c r="AT174" s="1"/>
      <c r="AU174" s="1"/>
      <c r="AV174" s="1"/>
      <c r="AW174" s="1"/>
      <c r="BR174" s="1"/>
      <c r="BW174" s="1"/>
      <c r="BX174" s="1"/>
      <c r="BY174" s="1"/>
      <c r="BZ174" s="1"/>
    </row>
    <row r="175" spans="1:78" ht="14" thickBot="1" x14ac:dyDescent="0.2">
      <c r="A175" s="23"/>
      <c r="B175" s="219"/>
      <c r="C175" s="520"/>
      <c r="D175" s="667"/>
      <c r="E175" s="517" t="str">
        <f t="shared" si="183"/>
        <v/>
      </c>
      <c r="F175" s="494"/>
      <c r="G175" s="494"/>
      <c r="H175" s="803"/>
      <c r="I175" s="804"/>
      <c r="J175" s="753">
        <f t="shared" si="180"/>
        <v>0</v>
      </c>
      <c r="K175" s="758"/>
      <c r="L175" s="753">
        <f t="shared" si="181"/>
        <v>0</v>
      </c>
      <c r="M175" s="758"/>
      <c r="N175" s="753">
        <f t="shared" si="182"/>
        <v>0</v>
      </c>
      <c r="O175" s="754"/>
      <c r="P175" s="219"/>
      <c r="Q175" s="219"/>
      <c r="R175" s="219"/>
      <c r="S175" s="219"/>
      <c r="T175" s="219"/>
      <c r="U175" s="219"/>
      <c r="V175" s="255" t="s">
        <v>250</v>
      </c>
      <c r="W175" s="809">
        <f>IF(B171="",0,SUM(J171:J175)/$T$107)</f>
        <v>0</v>
      </c>
      <c r="X175" s="809"/>
      <c r="AB175" s="511">
        <f>$C$172*H175</f>
        <v>0</v>
      </c>
      <c r="AO175" s="1"/>
      <c r="AP175" s="1"/>
      <c r="AQ175" s="1"/>
      <c r="AR175" s="1"/>
      <c r="AS175" s="1"/>
      <c r="AT175" s="1"/>
      <c r="AU175" s="1"/>
      <c r="AV175" s="1"/>
      <c r="AW175" s="1"/>
      <c r="BR175" s="1"/>
      <c r="BW175" s="1"/>
      <c r="BX175" s="1"/>
      <c r="BY175" s="1"/>
      <c r="BZ175" s="1"/>
    </row>
    <row r="176" spans="1:78" x14ac:dyDescent="0.15">
      <c r="A176" s="519">
        <v>2</v>
      </c>
      <c r="B176" s="668"/>
      <c r="C176" s="669"/>
      <c r="D176" s="666"/>
      <c r="E176" s="516" t="str">
        <f>IF(D176="","",LOOKUP(D176,$A$4:$A$53,$B$4:$B$53))</f>
        <v/>
      </c>
      <c r="F176" s="493"/>
      <c r="G176" s="493"/>
      <c r="H176" s="805"/>
      <c r="I176" s="806"/>
      <c r="J176" s="755">
        <f t="shared" si="180"/>
        <v>0</v>
      </c>
      <c r="K176" s="756"/>
      <c r="L176" s="755">
        <f t="shared" si="181"/>
        <v>0</v>
      </c>
      <c r="M176" s="757"/>
      <c r="N176" s="755">
        <f t="shared" si="182"/>
        <v>0</v>
      </c>
      <c r="O176" s="756"/>
      <c r="P176" s="429"/>
      <c r="Q176" s="373"/>
      <c r="R176" s="117"/>
      <c r="S176" s="117"/>
      <c r="T176" s="117"/>
      <c r="U176" s="325"/>
      <c r="V176" s="491"/>
      <c r="W176" s="369"/>
      <c r="AB176" s="510">
        <f>$C$177*H176</f>
        <v>0</v>
      </c>
      <c r="AO176" s="1"/>
      <c r="AP176" s="1"/>
      <c r="AQ176" s="1"/>
      <c r="AR176" s="1"/>
      <c r="AS176" s="1"/>
      <c r="AT176" s="1"/>
      <c r="AU176" s="1"/>
      <c r="AV176" s="1"/>
      <c r="AW176" s="1"/>
      <c r="BR176" s="1"/>
      <c r="BW176" s="1"/>
      <c r="BX176" s="1"/>
      <c r="BY176" s="1"/>
      <c r="BZ176" s="1"/>
    </row>
    <row r="177" spans="1:78" x14ac:dyDescent="0.15">
      <c r="A177" s="5"/>
      <c r="B177" s="6"/>
      <c r="C177" s="539">
        <f>IF(Prezzi!N49="",C176,Prezzi!N49)</f>
        <v>0</v>
      </c>
      <c r="D177" s="666"/>
      <c r="E177" s="516" t="str">
        <f t="shared" si="183"/>
        <v/>
      </c>
      <c r="F177" s="493"/>
      <c r="G177" s="493"/>
      <c r="H177" s="805"/>
      <c r="I177" s="806"/>
      <c r="J177" s="755">
        <f t="shared" si="180"/>
        <v>0</v>
      </c>
      <c r="K177" s="756"/>
      <c r="L177" s="755">
        <f t="shared" si="181"/>
        <v>0</v>
      </c>
      <c r="M177" s="757"/>
      <c r="N177" s="755">
        <f t="shared" si="182"/>
        <v>0</v>
      </c>
      <c r="O177" s="756"/>
      <c r="R177" s="117"/>
      <c r="S177" s="117"/>
      <c r="T177" s="117"/>
      <c r="U177" s="325"/>
      <c r="V177" s="491"/>
      <c r="W177" s="369"/>
      <c r="AB177" s="510">
        <f>$C$177*H177</f>
        <v>0</v>
      </c>
      <c r="AO177" s="1"/>
      <c r="AP177" s="1"/>
      <c r="AQ177" s="1"/>
      <c r="AR177" s="1"/>
      <c r="AS177" s="1"/>
      <c r="AT177" s="1"/>
      <c r="AU177" s="1"/>
      <c r="AV177" s="1"/>
      <c r="AW177" s="1"/>
      <c r="BR177" s="1"/>
      <c r="BW177" s="1"/>
      <c r="BX177" s="1"/>
      <c r="BY177" s="1"/>
      <c r="BZ177" s="1"/>
    </row>
    <row r="178" spans="1:78" x14ac:dyDescent="0.15">
      <c r="A178" s="5"/>
      <c r="B178" s="6" t="s">
        <v>437</v>
      </c>
      <c r="D178" s="666"/>
      <c r="E178" s="516" t="str">
        <f t="shared" si="183"/>
        <v/>
      </c>
      <c r="F178" s="493"/>
      <c r="G178" s="493"/>
      <c r="H178" s="805"/>
      <c r="I178" s="806"/>
      <c r="J178" s="755">
        <f t="shared" si="180"/>
        <v>0</v>
      </c>
      <c r="K178" s="756"/>
      <c r="L178" s="755">
        <f t="shared" ref="L178:L195" si="184">IF(D178="",0,LOOKUP(D178,$A$4:$A$53,$L$4:$L$53))*H178</f>
        <v>0</v>
      </c>
      <c r="M178" s="757"/>
      <c r="N178" s="755">
        <f t="shared" ref="N178:N195" si="185">IF(D178="",0,LOOKUP(D178,$A$4:$A$53,$V$4:$V$53))*H178</f>
        <v>0</v>
      </c>
      <c r="O178" s="756"/>
      <c r="R178" s="117"/>
      <c r="S178" s="117"/>
      <c r="T178" s="485"/>
      <c r="U178" s="486"/>
      <c r="V178" s="200"/>
      <c r="W178" s="200"/>
      <c r="AB178" s="510">
        <f>$C$177*H178</f>
        <v>0</v>
      </c>
      <c r="AO178" s="1"/>
      <c r="AP178" s="1"/>
      <c r="AQ178" s="1"/>
      <c r="AR178" s="1"/>
      <c r="AS178" s="1"/>
      <c r="AT178" s="1"/>
      <c r="AU178" s="1"/>
      <c r="AV178" s="1"/>
      <c r="AW178" s="1"/>
      <c r="BR178" s="1"/>
      <c r="BW178" s="1"/>
      <c r="BX178" s="1"/>
      <c r="BY178" s="1"/>
      <c r="BZ178" s="1"/>
    </row>
    <row r="179" spans="1:78" x14ac:dyDescent="0.15">
      <c r="A179" s="5"/>
      <c r="B179" s="602">
        <f>SUM(N176:O180)</f>
        <v>0</v>
      </c>
      <c r="D179" s="666"/>
      <c r="E179" s="516" t="str">
        <f t="shared" si="183"/>
        <v/>
      </c>
      <c r="F179" s="493"/>
      <c r="G179" s="493"/>
      <c r="H179" s="805"/>
      <c r="I179" s="806"/>
      <c r="J179" s="755">
        <f t="shared" si="180"/>
        <v>0</v>
      </c>
      <c r="K179" s="756"/>
      <c r="L179" s="755">
        <f t="shared" si="184"/>
        <v>0</v>
      </c>
      <c r="M179" s="757"/>
      <c r="N179" s="755">
        <f t="shared" si="185"/>
        <v>0</v>
      </c>
      <c r="O179" s="756"/>
      <c r="R179" s="117"/>
      <c r="V179" s="443" t="s">
        <v>411</v>
      </c>
      <c r="W179" s="809">
        <f>IF(SUM(AB176:AB180)=0,0,($T$107/M$202)/SUM(J176:J180))</f>
        <v>0</v>
      </c>
      <c r="X179" s="809"/>
      <c r="AB179" s="510">
        <f>$C$177*H179</f>
        <v>0</v>
      </c>
      <c r="AO179" s="1"/>
      <c r="AP179" s="1"/>
      <c r="AQ179" s="1"/>
      <c r="AR179" s="1"/>
      <c r="AS179" s="1"/>
      <c r="AT179" s="1"/>
      <c r="AU179" s="1"/>
      <c r="AV179" s="1"/>
      <c r="AW179" s="1"/>
      <c r="BR179" s="1"/>
      <c r="BW179" s="1"/>
      <c r="BX179" s="1"/>
      <c r="BY179" s="1"/>
      <c r="BZ179" s="1"/>
    </row>
    <row r="180" spans="1:78" ht="14" thickBot="1" x14ac:dyDescent="0.2">
      <c r="A180" s="23"/>
      <c r="B180" s="219"/>
      <c r="C180" s="520"/>
      <c r="D180" s="667"/>
      <c r="E180" s="517" t="str">
        <f t="shared" si="183"/>
        <v/>
      </c>
      <c r="F180" s="494"/>
      <c r="G180" s="494"/>
      <c r="H180" s="803"/>
      <c r="I180" s="804"/>
      <c r="J180" s="753">
        <f t="shared" si="180"/>
        <v>0</v>
      </c>
      <c r="K180" s="754"/>
      <c r="L180" s="753">
        <f t="shared" si="184"/>
        <v>0</v>
      </c>
      <c r="M180" s="758"/>
      <c r="N180" s="753">
        <f t="shared" si="185"/>
        <v>0</v>
      </c>
      <c r="O180" s="754"/>
      <c r="P180" s="255"/>
      <c r="Q180" s="219"/>
      <c r="R180" s="219"/>
      <c r="S180" s="219"/>
      <c r="T180" s="219"/>
      <c r="U180" s="219"/>
      <c r="V180" s="255" t="s">
        <v>250</v>
      </c>
      <c r="W180" s="809">
        <f>IF(B176="",0,SUM(J176:J180)/$T$107)</f>
        <v>0</v>
      </c>
      <c r="X180" s="809"/>
      <c r="AB180" s="511">
        <f>$C$177*H180</f>
        <v>0</v>
      </c>
      <c r="AO180" s="1"/>
      <c r="AP180" s="1"/>
      <c r="AQ180" s="1"/>
      <c r="AR180" s="1"/>
      <c r="AS180" s="1"/>
      <c r="AT180" s="1"/>
      <c r="AU180" s="1"/>
      <c r="AV180" s="1"/>
      <c r="AW180" s="1"/>
      <c r="BR180" s="1"/>
      <c r="BW180" s="1"/>
      <c r="BX180" s="1"/>
      <c r="BY180" s="1"/>
      <c r="BZ180" s="1"/>
    </row>
    <row r="181" spans="1:78" x14ac:dyDescent="0.15">
      <c r="A181" s="519">
        <v>3</v>
      </c>
      <c r="B181" s="668"/>
      <c r="C181" s="669"/>
      <c r="D181" s="666"/>
      <c r="E181" s="516" t="str">
        <f>IF(D181="","",LOOKUP(D181,$A$4:$A$53,$B$4:$B$53))</f>
        <v/>
      </c>
      <c r="F181" s="493"/>
      <c r="G181" s="493"/>
      <c r="H181" s="805"/>
      <c r="I181" s="806"/>
      <c r="J181" s="755">
        <f t="shared" si="180"/>
        <v>0</v>
      </c>
      <c r="K181" s="756"/>
      <c r="L181" s="755">
        <f t="shared" si="184"/>
        <v>0</v>
      </c>
      <c r="M181" s="757"/>
      <c r="N181" s="755">
        <f t="shared" si="185"/>
        <v>0</v>
      </c>
      <c r="O181" s="756"/>
      <c r="P181" s="429"/>
      <c r="Q181" s="373"/>
      <c r="R181" s="117"/>
      <c r="S181" s="117"/>
      <c r="T181" s="479"/>
      <c r="U181" s="117"/>
      <c r="V181" s="479"/>
      <c r="W181" s="126"/>
      <c r="AB181" s="510">
        <f>$C$182*H181</f>
        <v>0</v>
      </c>
      <c r="AO181" s="1"/>
      <c r="AP181" s="1"/>
      <c r="AQ181" s="1"/>
      <c r="AR181" s="1"/>
      <c r="AS181" s="1"/>
      <c r="AT181" s="1"/>
      <c r="AU181" s="1"/>
      <c r="AV181" s="1"/>
      <c r="AW181" s="1"/>
      <c r="BR181" s="1"/>
      <c r="BW181" s="1"/>
      <c r="BX181" s="1"/>
      <c r="BY181" s="1"/>
      <c r="BZ181" s="1"/>
    </row>
    <row r="182" spans="1:78" x14ac:dyDescent="0.15">
      <c r="A182" s="5"/>
      <c r="B182" s="6"/>
      <c r="C182" s="539">
        <f>IF(Prezzi!N52="",C181,Prezzi!N52)</f>
        <v>0</v>
      </c>
      <c r="D182" s="666"/>
      <c r="E182" s="516" t="str">
        <f t="shared" si="183"/>
        <v/>
      </c>
      <c r="F182" s="493"/>
      <c r="G182" s="493"/>
      <c r="H182" s="805"/>
      <c r="I182" s="806"/>
      <c r="J182" s="755">
        <f t="shared" si="180"/>
        <v>0</v>
      </c>
      <c r="K182" s="756"/>
      <c r="L182" s="755">
        <f t="shared" si="184"/>
        <v>0</v>
      </c>
      <c r="M182" s="757"/>
      <c r="N182" s="755">
        <f t="shared" si="185"/>
        <v>0</v>
      </c>
      <c r="O182" s="756"/>
      <c r="R182" s="492"/>
      <c r="S182" s="117"/>
      <c r="T182" s="117"/>
      <c r="U182" s="117"/>
      <c r="V182" s="491"/>
      <c r="W182" s="369"/>
      <c r="AB182" s="510">
        <f>$C$182*H182</f>
        <v>0</v>
      </c>
      <c r="AO182" s="1"/>
      <c r="AP182" s="1"/>
      <c r="AQ182" s="1"/>
      <c r="AR182" s="1"/>
      <c r="AS182" s="1"/>
      <c r="AT182" s="1"/>
      <c r="AU182" s="1"/>
      <c r="AV182" s="1"/>
      <c r="AW182" s="1"/>
      <c r="BR182" s="1"/>
      <c r="BW182" s="1"/>
      <c r="BX182" s="1"/>
      <c r="BY182" s="1"/>
      <c r="BZ182" s="1"/>
    </row>
    <row r="183" spans="1:78" x14ac:dyDescent="0.15">
      <c r="A183" s="5"/>
      <c r="B183" s="6" t="s">
        <v>437</v>
      </c>
      <c r="D183" s="666"/>
      <c r="E183" s="516" t="str">
        <f t="shared" si="183"/>
        <v/>
      </c>
      <c r="F183" s="493"/>
      <c r="G183" s="493"/>
      <c r="H183" s="805"/>
      <c r="I183" s="806"/>
      <c r="J183" s="755">
        <f t="shared" si="180"/>
        <v>0</v>
      </c>
      <c r="K183" s="756"/>
      <c r="L183" s="755">
        <f t="shared" si="184"/>
        <v>0</v>
      </c>
      <c r="M183" s="757"/>
      <c r="N183" s="755">
        <f t="shared" si="185"/>
        <v>0</v>
      </c>
      <c r="O183" s="756"/>
      <c r="R183" s="492"/>
      <c r="S183" s="117"/>
      <c r="T183" s="485"/>
      <c r="U183" s="486"/>
      <c r="V183" s="200"/>
      <c r="W183" s="200"/>
      <c r="AB183" s="510">
        <f>$C$182*H183</f>
        <v>0</v>
      </c>
      <c r="AO183" s="1"/>
      <c r="AP183" s="1"/>
      <c r="AQ183" s="1"/>
      <c r="AR183" s="1"/>
      <c r="AS183" s="1"/>
      <c r="AT183" s="1"/>
      <c r="AU183" s="1"/>
      <c r="AV183" s="1"/>
      <c r="AW183" s="1"/>
      <c r="BR183" s="1"/>
      <c r="BW183" s="1"/>
      <c r="BX183" s="1"/>
      <c r="BY183" s="1"/>
      <c r="BZ183" s="1"/>
    </row>
    <row r="184" spans="1:78" x14ac:dyDescent="0.15">
      <c r="A184" s="5"/>
      <c r="B184" s="602">
        <f>SUM(N181:O185)</f>
        <v>0</v>
      </c>
      <c r="D184" s="666"/>
      <c r="E184" s="516" t="str">
        <f t="shared" si="183"/>
        <v/>
      </c>
      <c r="F184" s="493"/>
      <c r="G184" s="493"/>
      <c r="H184" s="805"/>
      <c r="I184" s="806"/>
      <c r="J184" s="755">
        <f t="shared" si="180"/>
        <v>0</v>
      </c>
      <c r="K184" s="756"/>
      <c r="L184" s="755">
        <f t="shared" si="184"/>
        <v>0</v>
      </c>
      <c r="M184" s="757"/>
      <c r="N184" s="755">
        <f t="shared" si="185"/>
        <v>0</v>
      </c>
      <c r="O184" s="756"/>
      <c r="Q184" s="6"/>
      <c r="R184" s="492"/>
      <c r="V184" s="443" t="s">
        <v>411</v>
      </c>
      <c r="W184" s="809">
        <f>IF(SUM(AB181:AB185)=0,0,($T$107/M$202)/SUM(J181:J185))</f>
        <v>0</v>
      </c>
      <c r="X184" s="809"/>
      <c r="AB184" s="510">
        <f>$C$182*H184</f>
        <v>0</v>
      </c>
      <c r="AO184" s="1"/>
      <c r="AP184" s="1"/>
      <c r="AQ184" s="1"/>
      <c r="AR184" s="1"/>
      <c r="AS184" s="1"/>
      <c r="AT184" s="1"/>
      <c r="AU184" s="1"/>
      <c r="AV184" s="1"/>
      <c r="AW184" s="1"/>
      <c r="BR184" s="1"/>
      <c r="BW184" s="1"/>
      <c r="BX184" s="1"/>
      <c r="BY184" s="1"/>
      <c r="BZ184" s="1"/>
    </row>
    <row r="185" spans="1:78" ht="14" thickBot="1" x14ac:dyDescent="0.2">
      <c r="A185" s="23"/>
      <c r="B185" s="219"/>
      <c r="C185" s="520"/>
      <c r="D185" s="667"/>
      <c r="E185" s="517" t="str">
        <f t="shared" si="183"/>
        <v/>
      </c>
      <c r="F185" s="494"/>
      <c r="G185" s="494"/>
      <c r="H185" s="803"/>
      <c r="I185" s="804"/>
      <c r="J185" s="753">
        <f t="shared" si="180"/>
        <v>0</v>
      </c>
      <c r="K185" s="754"/>
      <c r="L185" s="753">
        <f t="shared" si="184"/>
        <v>0</v>
      </c>
      <c r="M185" s="758"/>
      <c r="N185" s="753">
        <f t="shared" si="185"/>
        <v>0</v>
      </c>
      <c r="O185" s="754"/>
      <c r="P185" s="255"/>
      <c r="Q185" s="500"/>
      <c r="R185" s="501"/>
      <c r="S185" s="219"/>
      <c r="T185" s="219"/>
      <c r="U185" s="219"/>
      <c r="V185" s="255" t="s">
        <v>250</v>
      </c>
      <c r="W185" s="809">
        <f>IF(B181="",0,SUM(J181:J185)/$T$107)</f>
        <v>0</v>
      </c>
      <c r="X185" s="809"/>
      <c r="AB185" s="511">
        <f>$C$182*H185</f>
        <v>0</v>
      </c>
      <c r="AO185" s="1"/>
      <c r="AP185" s="1"/>
      <c r="AQ185" s="1"/>
      <c r="AR185" s="1"/>
      <c r="AS185" s="1"/>
      <c r="AT185" s="1"/>
      <c r="AU185" s="1"/>
      <c r="AV185" s="1"/>
      <c r="AW185" s="1"/>
      <c r="BR185" s="1"/>
      <c r="BW185" s="1"/>
      <c r="BX185" s="1"/>
      <c r="BY185" s="1"/>
      <c r="BZ185" s="1"/>
    </row>
    <row r="186" spans="1:78" x14ac:dyDescent="0.15">
      <c r="A186" s="519">
        <v>4</v>
      </c>
      <c r="B186" s="668"/>
      <c r="C186" s="669"/>
      <c r="D186" s="666"/>
      <c r="E186" s="516" t="str">
        <f>IF(D186="","",LOOKUP(D186,$A$4:$A$53,$B$4:$B$53))</f>
        <v/>
      </c>
      <c r="F186" s="493"/>
      <c r="G186" s="493"/>
      <c r="H186" s="805"/>
      <c r="I186" s="806"/>
      <c r="J186" s="755">
        <f t="shared" si="180"/>
        <v>0</v>
      </c>
      <c r="K186" s="756"/>
      <c r="L186" s="755">
        <f t="shared" si="184"/>
        <v>0</v>
      </c>
      <c r="M186" s="757"/>
      <c r="N186" s="755">
        <f t="shared" si="185"/>
        <v>0</v>
      </c>
      <c r="O186" s="756"/>
      <c r="P186" s="429"/>
      <c r="Q186" s="373"/>
      <c r="R186" s="117"/>
      <c r="S186" s="117"/>
      <c r="T186" s="479"/>
      <c r="U186" s="117"/>
      <c r="V186" s="479"/>
      <c r="W186" s="126"/>
      <c r="AB186" s="510">
        <f>$C$187*H186</f>
        <v>0</v>
      </c>
      <c r="AO186" s="1"/>
      <c r="AP186" s="1"/>
      <c r="AQ186" s="1"/>
      <c r="AR186" s="1"/>
      <c r="AS186" s="1"/>
      <c r="AT186" s="1"/>
      <c r="AU186" s="1"/>
      <c r="AV186" s="1"/>
      <c r="AW186" s="1"/>
      <c r="BR186" s="1"/>
      <c r="BW186" s="1"/>
      <c r="BX186" s="1"/>
      <c r="BY186" s="1"/>
      <c r="BZ186" s="1"/>
    </row>
    <row r="187" spans="1:78" x14ac:dyDescent="0.15">
      <c r="A187" s="5"/>
      <c r="B187" s="6"/>
      <c r="C187" s="539">
        <f>IF(Prezzi!N55="",C186,Prezzi!N55)</f>
        <v>0</v>
      </c>
      <c r="D187" s="666"/>
      <c r="E187" s="516" t="str">
        <f t="shared" si="183"/>
        <v/>
      </c>
      <c r="F187" s="493"/>
      <c r="G187" s="493"/>
      <c r="H187" s="805"/>
      <c r="I187" s="806"/>
      <c r="J187" s="755">
        <f t="shared" si="180"/>
        <v>0</v>
      </c>
      <c r="K187" s="756"/>
      <c r="L187" s="755">
        <f t="shared" si="184"/>
        <v>0</v>
      </c>
      <c r="M187" s="757"/>
      <c r="N187" s="755">
        <f t="shared" si="185"/>
        <v>0</v>
      </c>
      <c r="O187" s="756"/>
      <c r="Q187" s="117"/>
      <c r="R187" s="117"/>
      <c r="S187" s="117"/>
      <c r="T187" s="117"/>
      <c r="U187" s="117"/>
      <c r="V187" s="491"/>
      <c r="W187" s="369"/>
      <c r="AB187" s="510">
        <f>$C$187*H187</f>
        <v>0</v>
      </c>
      <c r="AO187" s="1"/>
      <c r="AP187" s="1"/>
      <c r="AQ187" s="1"/>
      <c r="AR187" s="1"/>
      <c r="AS187" s="1"/>
      <c r="AT187" s="1"/>
      <c r="AU187" s="1"/>
      <c r="AV187" s="1"/>
      <c r="AW187" s="1"/>
      <c r="BR187" s="1"/>
      <c r="BW187" s="1"/>
      <c r="BX187" s="1"/>
      <c r="BY187" s="1"/>
      <c r="BZ187" s="1"/>
    </row>
    <row r="188" spans="1:78" x14ac:dyDescent="0.15">
      <c r="A188" s="5"/>
      <c r="B188" s="6" t="s">
        <v>437</v>
      </c>
      <c r="D188" s="666"/>
      <c r="E188" s="516" t="str">
        <f t="shared" si="183"/>
        <v/>
      </c>
      <c r="F188" s="493"/>
      <c r="G188" s="493"/>
      <c r="H188" s="805"/>
      <c r="I188" s="806"/>
      <c r="J188" s="755">
        <f t="shared" si="180"/>
        <v>0</v>
      </c>
      <c r="K188" s="756"/>
      <c r="L188" s="755">
        <f t="shared" si="184"/>
        <v>0</v>
      </c>
      <c r="M188" s="757"/>
      <c r="N188" s="755">
        <f t="shared" si="185"/>
        <v>0</v>
      </c>
      <c r="O188" s="756"/>
      <c r="Q188" s="117"/>
      <c r="R188" s="117"/>
      <c r="S188" s="117"/>
      <c r="T188" s="485"/>
      <c r="U188" s="486"/>
      <c r="V188" s="200"/>
      <c r="W188" s="200"/>
      <c r="AB188" s="510">
        <f>$C$187*H188</f>
        <v>0</v>
      </c>
      <c r="AO188" s="1"/>
      <c r="AP188" s="1"/>
      <c r="AQ188" s="1"/>
      <c r="AR188" s="1"/>
      <c r="AS188" s="1"/>
      <c r="AT188" s="1"/>
      <c r="AU188" s="1"/>
      <c r="AV188" s="1"/>
      <c r="AW188" s="1"/>
      <c r="BR188" s="1"/>
      <c r="BW188" s="1"/>
      <c r="BX188" s="1"/>
      <c r="BY188" s="1"/>
      <c r="BZ188" s="1"/>
    </row>
    <row r="189" spans="1:78" x14ac:dyDescent="0.15">
      <c r="A189" s="5"/>
      <c r="B189" s="602">
        <f>SUM(N186:O190)</f>
        <v>0</v>
      </c>
      <c r="D189" s="666"/>
      <c r="E189" s="516" t="str">
        <f t="shared" si="183"/>
        <v/>
      </c>
      <c r="F189" s="493"/>
      <c r="G189" s="493"/>
      <c r="H189" s="805"/>
      <c r="I189" s="806"/>
      <c r="J189" s="755">
        <f t="shared" si="180"/>
        <v>0</v>
      </c>
      <c r="K189" s="756"/>
      <c r="L189" s="755">
        <f t="shared" si="184"/>
        <v>0</v>
      </c>
      <c r="M189" s="757"/>
      <c r="N189" s="755">
        <f t="shared" si="185"/>
        <v>0</v>
      </c>
      <c r="O189" s="756"/>
      <c r="Q189" s="117"/>
      <c r="R189" s="117"/>
      <c r="V189" s="443" t="s">
        <v>411</v>
      </c>
      <c r="W189" s="809">
        <f>IF(SUM(AB186:AB190)=0,0,($T$107/M$202)/SUM(J186:J190))</f>
        <v>0</v>
      </c>
      <c r="X189" s="809"/>
      <c r="AB189" s="510">
        <f>$C$187*H189</f>
        <v>0</v>
      </c>
      <c r="AO189" s="1"/>
      <c r="AP189" s="1"/>
      <c r="AQ189" s="1"/>
      <c r="AR189" s="1"/>
      <c r="AS189" s="1"/>
      <c r="AT189" s="1"/>
      <c r="AU189" s="1"/>
      <c r="AV189" s="1"/>
      <c r="AW189" s="1"/>
      <c r="BR189" s="1"/>
      <c r="BW189" s="1"/>
      <c r="BX189" s="1"/>
      <c r="BY189" s="1"/>
      <c r="BZ189" s="1"/>
    </row>
    <row r="190" spans="1:78" ht="14" thickBot="1" x14ac:dyDescent="0.2">
      <c r="A190" s="23"/>
      <c r="B190" s="219"/>
      <c r="C190" s="520"/>
      <c r="D190" s="667"/>
      <c r="E190" s="517" t="str">
        <f t="shared" si="183"/>
        <v/>
      </c>
      <c r="F190" s="494"/>
      <c r="G190" s="494"/>
      <c r="H190" s="803"/>
      <c r="I190" s="804"/>
      <c r="J190" s="753">
        <f t="shared" si="180"/>
        <v>0</v>
      </c>
      <c r="K190" s="754"/>
      <c r="L190" s="753">
        <f t="shared" si="184"/>
        <v>0</v>
      </c>
      <c r="M190" s="758"/>
      <c r="N190" s="753">
        <f t="shared" si="185"/>
        <v>0</v>
      </c>
      <c r="O190" s="754"/>
      <c r="P190" s="255"/>
      <c r="Q190" s="500"/>
      <c r="R190" s="217"/>
      <c r="S190" s="219"/>
      <c r="T190" s="219"/>
      <c r="U190" s="219"/>
      <c r="V190" s="255" t="s">
        <v>250</v>
      </c>
      <c r="W190" s="809">
        <f>IF(B186="",0,SUM(J186:J190)/$T$107)</f>
        <v>0</v>
      </c>
      <c r="X190" s="809"/>
      <c r="AB190" s="511">
        <f>$C$187*H190</f>
        <v>0</v>
      </c>
      <c r="AO190" s="1"/>
      <c r="AP190" s="1"/>
      <c r="AQ190" s="1"/>
      <c r="AR190" s="1"/>
      <c r="AS190" s="1"/>
      <c r="AT190" s="1"/>
      <c r="AU190" s="1"/>
      <c r="AV190" s="1"/>
      <c r="AW190" s="1"/>
      <c r="BR190" s="1"/>
      <c r="BW190" s="1"/>
      <c r="BX190" s="1"/>
      <c r="BY190" s="1"/>
      <c r="BZ190" s="1"/>
    </row>
    <row r="191" spans="1:78" x14ac:dyDescent="0.15">
      <c r="A191" s="519">
        <v>5</v>
      </c>
      <c r="B191" s="668"/>
      <c r="C191" s="669"/>
      <c r="D191" s="666"/>
      <c r="E191" s="516" t="str">
        <f>IF(D191="","",LOOKUP(D191,$A$4:$A$53,$B$4:$B$53))</f>
        <v/>
      </c>
      <c r="F191" s="493"/>
      <c r="G191" s="493"/>
      <c r="H191" s="805"/>
      <c r="I191" s="806"/>
      <c r="J191" s="755">
        <f t="shared" si="180"/>
        <v>0</v>
      </c>
      <c r="K191" s="756"/>
      <c r="L191" s="755">
        <f t="shared" si="184"/>
        <v>0</v>
      </c>
      <c r="M191" s="757"/>
      <c r="N191" s="755">
        <f t="shared" si="185"/>
        <v>0</v>
      </c>
      <c r="O191" s="756"/>
      <c r="Q191" s="117"/>
      <c r="R191" s="117"/>
      <c r="S191" s="117"/>
      <c r="T191" s="479"/>
      <c r="U191" s="117"/>
      <c r="V191" s="479"/>
      <c r="W191" s="126"/>
      <c r="AB191" s="510">
        <f>$C$192*H191</f>
        <v>0</v>
      </c>
      <c r="AO191" s="1"/>
      <c r="AP191" s="1"/>
      <c r="AQ191" s="1"/>
      <c r="AR191" s="1"/>
      <c r="AS191" s="1"/>
      <c r="AT191" s="1"/>
      <c r="AU191" s="1"/>
      <c r="AV191" s="1"/>
      <c r="AW191" s="1"/>
      <c r="BR191" s="1"/>
      <c r="BW191" s="1"/>
      <c r="BX191" s="1"/>
      <c r="BY191" s="1"/>
      <c r="BZ191" s="1"/>
    </row>
    <row r="192" spans="1:78" x14ac:dyDescent="0.15">
      <c r="A192" s="5"/>
      <c r="B192" s="6"/>
      <c r="C192" s="539">
        <f>IF(Prezzi!N58="",C191,Prezzi!N58)</f>
        <v>0</v>
      </c>
      <c r="D192" s="666"/>
      <c r="E192" s="516" t="str">
        <f t="shared" si="183"/>
        <v/>
      </c>
      <c r="F192" s="493"/>
      <c r="G192" s="493"/>
      <c r="H192" s="805"/>
      <c r="I192" s="806"/>
      <c r="J192" s="755">
        <f t="shared" si="180"/>
        <v>0</v>
      </c>
      <c r="K192" s="756"/>
      <c r="L192" s="755">
        <f t="shared" si="184"/>
        <v>0</v>
      </c>
      <c r="M192" s="757"/>
      <c r="N192" s="755">
        <f t="shared" si="185"/>
        <v>0</v>
      </c>
      <c r="O192" s="756"/>
      <c r="Q192" s="117"/>
      <c r="R192" s="117"/>
      <c r="S192" s="117"/>
      <c r="T192" s="479"/>
      <c r="U192" s="117"/>
      <c r="V192" s="479"/>
      <c r="W192" s="126"/>
      <c r="AB192" s="510">
        <f>$C$192*H192</f>
        <v>0</v>
      </c>
      <c r="AO192" s="1"/>
      <c r="AP192" s="1"/>
      <c r="AQ192" s="1"/>
      <c r="AR192" s="1"/>
      <c r="AS192" s="1"/>
      <c r="AT192" s="1"/>
      <c r="AU192" s="1"/>
      <c r="AV192" s="1"/>
      <c r="AW192" s="1"/>
      <c r="BR192" s="1"/>
      <c r="BW192" s="1"/>
      <c r="BX192" s="1"/>
      <c r="BY192" s="1"/>
      <c r="BZ192" s="1"/>
    </row>
    <row r="193" spans="1:78" x14ac:dyDescent="0.15">
      <c r="A193" s="5"/>
      <c r="B193" s="6" t="s">
        <v>437</v>
      </c>
      <c r="D193" s="666"/>
      <c r="E193" s="516" t="str">
        <f t="shared" si="183"/>
        <v/>
      </c>
      <c r="F193" s="493"/>
      <c r="G193" s="493"/>
      <c r="H193" s="805"/>
      <c r="I193" s="806"/>
      <c r="J193" s="755">
        <f t="shared" si="180"/>
        <v>0</v>
      </c>
      <c r="K193" s="756"/>
      <c r="L193" s="755">
        <f t="shared" si="184"/>
        <v>0</v>
      </c>
      <c r="M193" s="757"/>
      <c r="N193" s="755">
        <f t="shared" si="185"/>
        <v>0</v>
      </c>
      <c r="O193" s="756"/>
      <c r="Q193" s="117"/>
      <c r="R193" s="117"/>
      <c r="S193" s="117"/>
      <c r="T193" s="479"/>
      <c r="U193" s="117"/>
      <c r="V193" s="479"/>
      <c r="W193" s="126"/>
      <c r="AB193" s="510">
        <f>$C$192*H193</f>
        <v>0</v>
      </c>
      <c r="AO193" s="1"/>
      <c r="AP193" s="1"/>
      <c r="AQ193" s="1"/>
      <c r="AR193" s="1"/>
      <c r="AS193" s="1"/>
      <c r="AT193" s="1"/>
      <c r="AU193" s="1"/>
      <c r="AV193" s="1"/>
      <c r="AW193" s="1"/>
      <c r="BR193" s="1"/>
      <c r="BW193" s="1"/>
      <c r="BX193" s="1"/>
      <c r="BY193" s="1"/>
      <c r="BZ193" s="1"/>
    </row>
    <row r="194" spans="1:78" x14ac:dyDescent="0.15">
      <c r="A194" s="5"/>
      <c r="B194" s="602">
        <f>SUM(N191:O195)</f>
        <v>0</v>
      </c>
      <c r="D194" s="666"/>
      <c r="E194" s="516" t="str">
        <f t="shared" si="183"/>
        <v/>
      </c>
      <c r="F194" s="493"/>
      <c r="G194" s="493"/>
      <c r="H194" s="805"/>
      <c r="I194" s="806"/>
      <c r="J194" s="755">
        <f t="shared" si="180"/>
        <v>0</v>
      </c>
      <c r="K194" s="756"/>
      <c r="L194" s="755">
        <f t="shared" si="184"/>
        <v>0</v>
      </c>
      <c r="M194" s="757"/>
      <c r="N194" s="755">
        <f t="shared" si="185"/>
        <v>0</v>
      </c>
      <c r="O194" s="756"/>
      <c r="Q194" s="117"/>
      <c r="R194" s="117"/>
      <c r="V194" s="443" t="s">
        <v>411</v>
      </c>
      <c r="W194" s="809">
        <f>IF(SUM(AB191:AB195)=0,0,($T$107/M$202)/SUM(J191:J195))</f>
        <v>0</v>
      </c>
      <c r="X194" s="809"/>
      <c r="AB194" s="510">
        <f>$C$192*H194</f>
        <v>0</v>
      </c>
      <c r="AO194" s="1"/>
      <c r="AP194" s="1"/>
      <c r="AQ194" s="1"/>
      <c r="AR194" s="1"/>
      <c r="AS194" s="1"/>
      <c r="AT194" s="1"/>
      <c r="AU194" s="1"/>
      <c r="AV194" s="1"/>
      <c r="AW194" s="1"/>
      <c r="BR194" s="1"/>
      <c r="BW194" s="1"/>
      <c r="BX194" s="1"/>
      <c r="BY194" s="1"/>
      <c r="BZ194" s="1"/>
    </row>
    <row r="195" spans="1:78" ht="14" thickBot="1" x14ac:dyDescent="0.2">
      <c r="A195" s="23"/>
      <c r="B195" s="219"/>
      <c r="C195" s="219"/>
      <c r="D195" s="667"/>
      <c r="E195" s="517" t="str">
        <f t="shared" si="183"/>
        <v/>
      </c>
      <c r="F195" s="494"/>
      <c r="G195" s="494"/>
      <c r="H195" s="803"/>
      <c r="I195" s="804"/>
      <c r="J195" s="753">
        <f t="shared" si="180"/>
        <v>0</v>
      </c>
      <c r="K195" s="754"/>
      <c r="L195" s="753">
        <f t="shared" si="184"/>
        <v>0</v>
      </c>
      <c r="M195" s="758"/>
      <c r="N195" s="753">
        <f t="shared" si="185"/>
        <v>0</v>
      </c>
      <c r="O195" s="754"/>
      <c r="P195" s="255"/>
      <c r="Q195" s="500"/>
      <c r="R195" s="217"/>
      <c r="S195" s="219"/>
      <c r="T195" s="219"/>
      <c r="U195" s="219"/>
      <c r="V195" s="255" t="s">
        <v>250</v>
      </c>
      <c r="W195" s="809">
        <f>IF(B191="",0,SUM(J191:J195)/$T$107)</f>
        <v>0</v>
      </c>
      <c r="X195" s="809"/>
      <c r="AB195" s="511">
        <f>$C$192*H195</f>
        <v>0</v>
      </c>
      <c r="AO195" s="1"/>
      <c r="AP195" s="1"/>
      <c r="AQ195" s="1"/>
      <c r="AR195" s="1"/>
      <c r="AS195" s="1"/>
      <c r="AT195" s="1"/>
      <c r="AU195" s="1"/>
      <c r="AV195" s="1"/>
      <c r="AW195" s="1"/>
      <c r="BR195" s="1"/>
      <c r="BW195" s="1"/>
      <c r="BX195" s="1"/>
      <c r="BY195" s="1"/>
      <c r="BZ195" s="1"/>
    </row>
    <row r="196" spans="1:78" x14ac:dyDescent="0.15">
      <c r="Q196" s="6"/>
      <c r="R196" s="117"/>
      <c r="S196" s="117"/>
      <c r="T196" s="479"/>
      <c r="U196" s="117"/>
      <c r="V196" s="479"/>
      <c r="W196" s="126"/>
      <c r="AO196" s="1"/>
      <c r="AP196" s="1"/>
      <c r="AQ196" s="1"/>
      <c r="AR196" s="1"/>
      <c r="AS196" s="1"/>
      <c r="AT196" s="1"/>
      <c r="AU196" s="1"/>
      <c r="AV196" s="1"/>
      <c r="AW196" s="1"/>
      <c r="BR196" s="1"/>
      <c r="BW196" s="1"/>
      <c r="BX196" s="1"/>
      <c r="BY196" s="1"/>
      <c r="BZ196" s="1"/>
    </row>
    <row r="197" spans="1:78" x14ac:dyDescent="0.15">
      <c r="R197" s="117"/>
      <c r="S197" s="117"/>
      <c r="T197" s="479"/>
      <c r="U197" s="117"/>
      <c r="V197" s="479"/>
      <c r="W197" s="126"/>
      <c r="AH197"/>
      <c r="AO197" s="1"/>
      <c r="AP197" s="1"/>
      <c r="AQ197" s="1"/>
      <c r="AR197" s="1"/>
      <c r="AS197" s="1"/>
      <c r="AT197" s="1"/>
      <c r="AU197" s="1"/>
      <c r="AV197" s="1"/>
      <c r="AW197" s="1"/>
      <c r="BR197" s="1"/>
      <c r="BW197" s="1"/>
      <c r="BX197" s="1"/>
      <c r="BY197" s="1"/>
      <c r="BZ197" s="1"/>
    </row>
    <row r="198" spans="1:78" x14ac:dyDescent="0.15">
      <c r="G198" s="6"/>
      <c r="H198" s="6"/>
      <c r="I198" s="6"/>
      <c r="J198" s="6"/>
      <c r="K198" s="117"/>
      <c r="L198" s="491"/>
      <c r="M198" s="502"/>
      <c r="R198" s="117"/>
      <c r="S198" s="117"/>
      <c r="T198" s="117"/>
      <c r="U198" s="117"/>
      <c r="V198" s="491"/>
      <c r="W198" s="369"/>
      <c r="AH198"/>
      <c r="AO198" s="1"/>
      <c r="AP198" s="1"/>
      <c r="AQ198" s="1"/>
      <c r="AR198" s="1"/>
      <c r="AS198" s="1"/>
      <c r="AT198" s="1"/>
      <c r="AU198" s="1"/>
      <c r="AV198" s="1"/>
      <c r="AW198" s="1"/>
      <c r="BR198" s="1"/>
      <c r="BW198" s="1"/>
      <c r="BX198" s="1"/>
      <c r="BY198" s="1"/>
      <c r="BZ198" s="1"/>
    </row>
    <row r="199" spans="1:78" x14ac:dyDescent="0.15">
      <c r="G199" s="6"/>
      <c r="H199" s="6"/>
      <c r="I199" s="495"/>
      <c r="J199" s="495"/>
      <c r="K199" s="200"/>
      <c r="L199" s="200"/>
      <c r="M199" s="200"/>
      <c r="N199" s="6"/>
      <c r="S199" s="117"/>
      <c r="T199" s="117"/>
      <c r="U199" s="117"/>
      <c r="V199" s="117"/>
      <c r="W199" s="117"/>
      <c r="AH199"/>
      <c r="AO199" s="1"/>
      <c r="AP199" s="1"/>
      <c r="AQ199" s="1"/>
      <c r="AR199" s="1"/>
      <c r="AS199" s="1"/>
      <c r="AT199" s="1"/>
      <c r="AU199" s="1"/>
      <c r="AV199" s="1"/>
      <c r="AW199" s="1"/>
      <c r="BR199" s="1"/>
      <c r="BW199" s="1"/>
      <c r="BX199" s="1"/>
      <c r="BY199" s="1"/>
      <c r="BZ199" s="1"/>
    </row>
    <row r="200" spans="1:78" ht="18" x14ac:dyDescent="0.2">
      <c r="B200" s="141" t="s">
        <v>412</v>
      </c>
      <c r="G200" s="6"/>
      <c r="H200" s="6"/>
      <c r="I200" s="443"/>
      <c r="J200" s="443"/>
      <c r="K200" s="502"/>
      <c r="L200" s="502"/>
      <c r="M200" s="502"/>
      <c r="N200" s="6"/>
      <c r="AH200"/>
      <c r="AO200" s="1"/>
      <c r="AP200" s="1"/>
      <c r="AQ200" s="1"/>
      <c r="AR200" s="1"/>
      <c r="AS200" s="1"/>
      <c r="AT200" s="1"/>
      <c r="AU200" s="1"/>
      <c r="AV200" s="1"/>
      <c r="AW200" s="1"/>
      <c r="BR200" s="1"/>
      <c r="BW200" s="1"/>
      <c r="BX200" s="1"/>
      <c r="BY200" s="1"/>
      <c r="BZ200" s="1"/>
    </row>
    <row r="201" spans="1:78" x14ac:dyDescent="0.15">
      <c r="G201" s="6"/>
      <c r="H201" s="6"/>
      <c r="I201" s="495"/>
      <c r="J201" s="495"/>
      <c r="K201" s="496"/>
      <c r="L201" s="496"/>
      <c r="M201" s="496"/>
      <c r="N201" s="6"/>
    </row>
    <row r="202" spans="1:78" x14ac:dyDescent="0.15">
      <c r="B202" s="89" t="s">
        <v>172</v>
      </c>
      <c r="C202" s="504">
        <f>Prezzi!O22</f>
        <v>8</v>
      </c>
      <c r="D202" s="505"/>
      <c r="G202" s="6"/>
      <c r="H202" s="6"/>
      <c r="I202" s="6"/>
      <c r="L202" s="89" t="s">
        <v>185</v>
      </c>
      <c r="M202" s="810">
        <f>C204*C203</f>
        <v>231</v>
      </c>
      <c r="N202" s="811"/>
    </row>
    <row r="203" spans="1:78" x14ac:dyDescent="0.15">
      <c r="B203" s="89" t="s">
        <v>175</v>
      </c>
      <c r="C203" s="506">
        <f>Prezzi!O23</f>
        <v>5.5</v>
      </c>
      <c r="D203" s="507"/>
      <c r="G203" s="6"/>
      <c r="H203" s="6"/>
      <c r="I203" s="497"/>
      <c r="J203" s="497"/>
      <c r="K203" s="498"/>
      <c r="L203" s="498"/>
      <c r="M203" s="498"/>
      <c r="N203" s="6"/>
    </row>
    <row r="204" spans="1:78" x14ac:dyDescent="0.15">
      <c r="B204" s="89" t="s">
        <v>180</v>
      </c>
      <c r="C204" s="506">
        <f>Prezzi!O24</f>
        <v>42</v>
      </c>
      <c r="D204" s="507"/>
      <c r="L204" s="503" t="s">
        <v>186</v>
      </c>
      <c r="M204" s="810">
        <f>C202*M202*C206</f>
        <v>1848</v>
      </c>
      <c r="N204" s="811"/>
    </row>
    <row r="205" spans="1:78" x14ac:dyDescent="0.15">
      <c r="B205" s="89" t="s">
        <v>182</v>
      </c>
      <c r="C205" s="506">
        <f>Prezzi!O25</f>
        <v>12</v>
      </c>
      <c r="D205" s="507"/>
    </row>
    <row r="206" spans="1:78" x14ac:dyDescent="0.15">
      <c r="B206" s="89" t="s">
        <v>184</v>
      </c>
      <c r="C206" s="508">
        <f>Prezzi!O26</f>
        <v>1</v>
      </c>
      <c r="D206" s="509"/>
      <c r="Y206" s="718" t="s">
        <v>504</v>
      </c>
    </row>
  </sheetData>
  <sheetProtection password="DB4F" sheet="1" objects="1" scenarios="1" selectLockedCells="1"/>
  <mergeCells count="341">
    <mergeCell ref="AO83:AP83"/>
    <mergeCell ref="AO84:AP84"/>
    <mergeCell ref="AO85:AP85"/>
    <mergeCell ref="AO86:AP86"/>
    <mergeCell ref="AM82:AN82"/>
    <mergeCell ref="AM83:AN83"/>
    <mergeCell ref="AM84:AN84"/>
    <mergeCell ref="AM85:AN85"/>
    <mergeCell ref="AM86:AN86"/>
    <mergeCell ref="AO64:AP64"/>
    <mergeCell ref="AO65:AP65"/>
    <mergeCell ref="AO66:AP66"/>
    <mergeCell ref="AO67:AP67"/>
    <mergeCell ref="AO68:AP68"/>
    <mergeCell ref="AO69:AP69"/>
    <mergeCell ref="AO70:AP70"/>
    <mergeCell ref="AO71:AP71"/>
    <mergeCell ref="AO72:AP72"/>
    <mergeCell ref="AO73:AP73"/>
    <mergeCell ref="AO74:AP74"/>
    <mergeCell ref="AO75:AP75"/>
    <mergeCell ref="AO76:AP76"/>
    <mergeCell ref="AO77:AP77"/>
    <mergeCell ref="AO78:AP78"/>
    <mergeCell ref="AO79:AP79"/>
    <mergeCell ref="AO80:AP80"/>
    <mergeCell ref="AO81:AP81"/>
    <mergeCell ref="AO82:AP82"/>
    <mergeCell ref="AM73:AN73"/>
    <mergeCell ref="AM74:AN74"/>
    <mergeCell ref="AM75:AN75"/>
    <mergeCell ref="AM76:AN76"/>
    <mergeCell ref="AM77:AN77"/>
    <mergeCell ref="AM78:AN78"/>
    <mergeCell ref="AM79:AN79"/>
    <mergeCell ref="AM80:AN80"/>
    <mergeCell ref="AM81:AN81"/>
    <mergeCell ref="AM64:AN64"/>
    <mergeCell ref="AM65:AN65"/>
    <mergeCell ref="AM66:AN66"/>
    <mergeCell ref="AM67:AN67"/>
    <mergeCell ref="AM68:AN68"/>
    <mergeCell ref="AM69:AN69"/>
    <mergeCell ref="AM70:AN70"/>
    <mergeCell ref="AM71:AN71"/>
    <mergeCell ref="AM72:AN72"/>
    <mergeCell ref="AK73:AL73"/>
    <mergeCell ref="AK74:AL74"/>
    <mergeCell ref="AK75:AL75"/>
    <mergeCell ref="AK86:AL86"/>
    <mergeCell ref="AK87:AL87"/>
    <mergeCell ref="AK80:AL80"/>
    <mergeCell ref="AK81:AL81"/>
    <mergeCell ref="AK82:AL82"/>
    <mergeCell ref="AK83:AL83"/>
    <mergeCell ref="AK84:AL84"/>
    <mergeCell ref="AK85:AL85"/>
    <mergeCell ref="AK76:AL76"/>
    <mergeCell ref="AK77:AL77"/>
    <mergeCell ref="AK78:AL78"/>
    <mergeCell ref="AK79:AL79"/>
    <mergeCell ref="AK64:AL64"/>
    <mergeCell ref="AK65:AL65"/>
    <mergeCell ref="AK66:AL66"/>
    <mergeCell ref="AK67:AL67"/>
    <mergeCell ref="AK68:AL68"/>
    <mergeCell ref="AK69:AL69"/>
    <mergeCell ref="AK70:AL70"/>
    <mergeCell ref="AK71:AL71"/>
    <mergeCell ref="AK72:AL72"/>
    <mergeCell ref="M204:N204"/>
    <mergeCell ref="M202:N202"/>
    <mergeCell ref="W179:X179"/>
    <mergeCell ref="W180:X180"/>
    <mergeCell ref="W184:X184"/>
    <mergeCell ref="W185:X185"/>
    <mergeCell ref="W189:X189"/>
    <mergeCell ref="W190:X190"/>
    <mergeCell ref="L182:M182"/>
    <mergeCell ref="L183:M183"/>
    <mergeCell ref="J193:K193"/>
    <mergeCell ref="J194:K194"/>
    <mergeCell ref="J195:K195"/>
    <mergeCell ref="W195:X195"/>
    <mergeCell ref="N194:O194"/>
    <mergeCell ref="N195:O195"/>
    <mergeCell ref="W174:X174"/>
    <mergeCell ref="W175:X175"/>
    <mergeCell ref="W194:X194"/>
    <mergeCell ref="H191:I191"/>
    <mergeCell ref="H192:I192"/>
    <mergeCell ref="J178:K178"/>
    <mergeCell ref="J179:K179"/>
    <mergeCell ref="J180:K180"/>
    <mergeCell ref="J181:K181"/>
    <mergeCell ref="J182:K182"/>
    <mergeCell ref="J183:K183"/>
    <mergeCell ref="J184:K184"/>
    <mergeCell ref="J185:K185"/>
    <mergeCell ref="J186:K186"/>
    <mergeCell ref="J187:K187"/>
    <mergeCell ref="J188:K188"/>
    <mergeCell ref="J189:K189"/>
    <mergeCell ref="H187:I187"/>
    <mergeCell ref="H188:I188"/>
    <mergeCell ref="H177:I177"/>
    <mergeCell ref="H178:I178"/>
    <mergeCell ref="H181:I181"/>
    <mergeCell ref="H182:I182"/>
    <mergeCell ref="H195:I195"/>
    <mergeCell ref="J171:K171"/>
    <mergeCell ref="J172:K172"/>
    <mergeCell ref="J173:K173"/>
    <mergeCell ref="J174:K174"/>
    <mergeCell ref="J175:K175"/>
    <mergeCell ref="J176:K176"/>
    <mergeCell ref="J177:K177"/>
    <mergeCell ref="H171:I171"/>
    <mergeCell ref="H172:I172"/>
    <mergeCell ref="H193:I193"/>
    <mergeCell ref="H194:I194"/>
    <mergeCell ref="H179:I179"/>
    <mergeCell ref="H180:I180"/>
    <mergeCell ref="H189:I189"/>
    <mergeCell ref="H190:I190"/>
    <mergeCell ref="H183:I183"/>
    <mergeCell ref="H184:I184"/>
    <mergeCell ref="J5:K5"/>
    <mergeCell ref="J4:K4"/>
    <mergeCell ref="J6:K6"/>
    <mergeCell ref="J7:K7"/>
    <mergeCell ref="H185:I185"/>
    <mergeCell ref="H186:I186"/>
    <mergeCell ref="H173:I173"/>
    <mergeCell ref="H174:I174"/>
    <mergeCell ref="H175:I175"/>
    <mergeCell ref="H176:I176"/>
    <mergeCell ref="J41:K41"/>
    <mergeCell ref="J42:K42"/>
    <mergeCell ref="J43:K43"/>
    <mergeCell ref="J44:K44"/>
    <mergeCell ref="J45:K45"/>
    <mergeCell ref="J46:K46"/>
    <mergeCell ref="J47:K47"/>
    <mergeCell ref="J192:K192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90:K190"/>
    <mergeCell ref="J191:K191"/>
    <mergeCell ref="J17:K17"/>
    <mergeCell ref="J18:K18"/>
    <mergeCell ref="J19:K19"/>
    <mergeCell ref="J20:K20"/>
    <mergeCell ref="J21:K21"/>
    <mergeCell ref="J22:K22"/>
    <mergeCell ref="J32:K32"/>
    <mergeCell ref="J33:K33"/>
    <mergeCell ref="A170:B170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40:K40"/>
    <mergeCell ref="J48:K48"/>
    <mergeCell ref="J49:K49"/>
    <mergeCell ref="J50:K50"/>
    <mergeCell ref="J51:K51"/>
    <mergeCell ref="J52:K52"/>
    <mergeCell ref="J53:K53"/>
    <mergeCell ref="J34:K34"/>
    <mergeCell ref="J35:K35"/>
    <mergeCell ref="J36:K36"/>
    <mergeCell ref="J37:K37"/>
    <mergeCell ref="J38:K38"/>
    <mergeCell ref="J39:K39"/>
    <mergeCell ref="Y1:Y3"/>
    <mergeCell ref="W63:W64"/>
    <mergeCell ref="L4:N4"/>
    <mergeCell ref="L5:N5"/>
    <mergeCell ref="L6:N6"/>
    <mergeCell ref="L7:N7"/>
    <mergeCell ref="L8:N8"/>
    <mergeCell ref="L9:N9"/>
    <mergeCell ref="L39:N39"/>
    <mergeCell ref="L11:N11"/>
    <mergeCell ref="L41:N41"/>
    <mergeCell ref="L36:N36"/>
    <mergeCell ref="L37:N37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10:N10"/>
    <mergeCell ref="V104:W104"/>
    <mergeCell ref="AE109:AG109"/>
    <mergeCell ref="V88:W88"/>
    <mergeCell ref="L12:N12"/>
    <mergeCell ref="L13:N13"/>
    <mergeCell ref="L14:N14"/>
    <mergeCell ref="L15:N15"/>
    <mergeCell ref="L16:N16"/>
    <mergeCell ref="L17:N17"/>
    <mergeCell ref="L31:N31"/>
    <mergeCell ref="L32:N32"/>
    <mergeCell ref="L33:N33"/>
    <mergeCell ref="L34:N34"/>
    <mergeCell ref="L35:N35"/>
    <mergeCell ref="L42:N42"/>
    <mergeCell ref="L43:N43"/>
    <mergeCell ref="L44:N44"/>
    <mergeCell ref="L45:N45"/>
    <mergeCell ref="L46:N46"/>
    <mergeCell ref="L47:N47"/>
    <mergeCell ref="L48:N48"/>
    <mergeCell ref="L49:N49"/>
    <mergeCell ref="L50:N50"/>
    <mergeCell ref="L18:N18"/>
    <mergeCell ref="V100:W100"/>
    <mergeCell ref="V101:W101"/>
    <mergeCell ref="L40:N40"/>
    <mergeCell ref="L19:N19"/>
    <mergeCell ref="V63:V64"/>
    <mergeCell ref="L38:N38"/>
    <mergeCell ref="T97:U97"/>
    <mergeCell ref="T98:U98"/>
    <mergeCell ref="T99:U99"/>
    <mergeCell ref="T101:U101"/>
    <mergeCell ref="T93:U93"/>
    <mergeCell ref="T94:U94"/>
    <mergeCell ref="T95:U95"/>
    <mergeCell ref="T96:U96"/>
    <mergeCell ref="V97:W97"/>
    <mergeCell ref="V98:W98"/>
    <mergeCell ref="V99:W99"/>
    <mergeCell ref="L51:N51"/>
    <mergeCell ref="L52:N52"/>
    <mergeCell ref="L53:N53"/>
    <mergeCell ref="V89:W89"/>
    <mergeCell ref="V90:W90"/>
    <mergeCell ref="V91:W91"/>
    <mergeCell ref="V92:W92"/>
    <mergeCell ref="V93:W93"/>
    <mergeCell ref="V94:W94"/>
    <mergeCell ref="V95:W95"/>
    <mergeCell ref="V103:W103"/>
    <mergeCell ref="V96:W96"/>
    <mergeCell ref="V102:W102"/>
    <mergeCell ref="T107:U107"/>
    <mergeCell ref="R104:S104"/>
    <mergeCell ref="T89:U89"/>
    <mergeCell ref="T90:U90"/>
    <mergeCell ref="T92:U92"/>
    <mergeCell ref="R100:S100"/>
    <mergeCell ref="R101:S101"/>
    <mergeCell ref="R102:S102"/>
    <mergeCell ref="T108:U108"/>
    <mergeCell ref="T102:U102"/>
    <mergeCell ref="R88:S88"/>
    <mergeCell ref="T91:U91"/>
    <mergeCell ref="T88:U88"/>
    <mergeCell ref="R89:S89"/>
    <mergeCell ref="R90:S90"/>
    <mergeCell ref="R91:S91"/>
    <mergeCell ref="R103:S103"/>
    <mergeCell ref="T103:U103"/>
    <mergeCell ref="T104:U104"/>
    <mergeCell ref="T100:U100"/>
    <mergeCell ref="R92:S92"/>
    <mergeCell ref="R93:S93"/>
    <mergeCell ref="R94:S94"/>
    <mergeCell ref="R95:S95"/>
    <mergeCell ref="R96:S96"/>
    <mergeCell ref="R97:S97"/>
    <mergeCell ref="L175:M175"/>
    <mergeCell ref="N172:O172"/>
    <mergeCell ref="N173:O173"/>
    <mergeCell ref="N174:O174"/>
    <mergeCell ref="N175:O175"/>
    <mergeCell ref="L171:M171"/>
    <mergeCell ref="N171:O171"/>
    <mergeCell ref="L172:M172"/>
    <mergeCell ref="L173:M173"/>
    <mergeCell ref="L174:M174"/>
    <mergeCell ref="R107:S107"/>
    <mergeCell ref="L194:M194"/>
    <mergeCell ref="L195:M195"/>
    <mergeCell ref="L188:M188"/>
    <mergeCell ref="L189:M189"/>
    <mergeCell ref="L190:M190"/>
    <mergeCell ref="L191:M191"/>
    <mergeCell ref="R98:S98"/>
    <mergeCell ref="R99:S99"/>
    <mergeCell ref="N178:O178"/>
    <mergeCell ref="N179:O179"/>
    <mergeCell ref="N180:O180"/>
    <mergeCell ref="N181:O181"/>
    <mergeCell ref="L176:M176"/>
    <mergeCell ref="L177:M177"/>
    <mergeCell ref="N176:O176"/>
    <mergeCell ref="N177:O177"/>
    <mergeCell ref="L192:M192"/>
    <mergeCell ref="L193:M193"/>
    <mergeCell ref="L184:M184"/>
    <mergeCell ref="L185:M185"/>
    <mergeCell ref="L186:M186"/>
    <mergeCell ref="L187:M187"/>
    <mergeCell ref="L178:M178"/>
    <mergeCell ref="L179:M179"/>
    <mergeCell ref="L180:M180"/>
    <mergeCell ref="L181:M181"/>
    <mergeCell ref="N190:O190"/>
    <mergeCell ref="N191:O191"/>
    <mergeCell ref="N192:O192"/>
    <mergeCell ref="N193:O193"/>
    <mergeCell ref="N186:O186"/>
    <mergeCell ref="N187:O187"/>
    <mergeCell ref="N188:O188"/>
    <mergeCell ref="N189:O189"/>
    <mergeCell ref="N182:O182"/>
    <mergeCell ref="N183:O183"/>
    <mergeCell ref="N184:O184"/>
    <mergeCell ref="N185:O185"/>
  </mergeCells>
  <phoneticPr fontId="15" type="noConversion"/>
  <pageMargins left="0.39" right="0.21" top="0.63" bottom="0.72" header="0.32" footer="0.45"/>
  <pageSetup paperSize="9" orientation="portrait" horizontalDpi="4294967293"/>
  <headerFooter alignWithMargins="0">
    <oddHeader>&amp;L&amp;A&amp;R&amp;F</oddHeader>
    <oddFooter>&amp;CPagina 8/&amp;P&amp;R&amp;D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88"/>
  <sheetViews>
    <sheetView workbookViewId="0">
      <selection activeCell="O9" sqref="O9"/>
    </sheetView>
  </sheetViews>
  <sheetFormatPr baseColWidth="10" defaultColWidth="8.83203125" defaultRowHeight="13" x14ac:dyDescent="0.15"/>
  <cols>
    <col min="1" max="1" width="27.5" customWidth="1"/>
    <col min="2" max="14" width="8.1640625" customWidth="1"/>
    <col min="15" max="15" width="5.5" customWidth="1"/>
    <col min="16" max="17" width="8.83203125" customWidth="1"/>
    <col min="18" max="18" width="9.1640625" style="1" customWidth="1"/>
    <col min="19" max="19" width="3" style="132" customWidth="1"/>
    <col min="20" max="20" width="3" style="1" customWidth="1"/>
    <col min="21" max="21" width="5.33203125" style="1" customWidth="1"/>
    <col min="22" max="28" width="3.33203125" style="1" customWidth="1"/>
  </cols>
  <sheetData>
    <row r="1" spans="1:28" ht="20" x14ac:dyDescent="0.2">
      <c r="A1" s="76" t="s">
        <v>273</v>
      </c>
      <c r="B1" s="76" t="s">
        <v>65</v>
      </c>
      <c r="N1" s="714" t="str">
        <f>MID([1]Persona!$D$12,1,60)</f>
        <v/>
      </c>
    </row>
    <row r="2" spans="1:28" ht="14" thickBot="1" x14ac:dyDescent="0.2">
      <c r="A2" s="51"/>
      <c r="B2" s="43" t="s">
        <v>274</v>
      </c>
      <c r="C2" s="43" t="s">
        <v>275</v>
      </c>
      <c r="D2" s="43" t="s">
        <v>276</v>
      </c>
      <c r="E2" s="43" t="s">
        <v>277</v>
      </c>
      <c r="F2" s="43" t="s">
        <v>278</v>
      </c>
      <c r="G2" s="43" t="s">
        <v>279</v>
      </c>
      <c r="H2" s="43" t="s">
        <v>280</v>
      </c>
      <c r="I2" s="43" t="s">
        <v>281</v>
      </c>
      <c r="J2" s="43" t="s">
        <v>282</v>
      </c>
      <c r="K2" s="43" t="s">
        <v>283</v>
      </c>
      <c r="L2" s="43" t="s">
        <v>284</v>
      </c>
      <c r="M2" s="43" t="s">
        <v>285</v>
      </c>
      <c r="N2" s="44" t="s">
        <v>236</v>
      </c>
      <c r="O2" s="45"/>
    </row>
    <row r="3" spans="1:28" x14ac:dyDescent="0.15">
      <c r="A3" s="1" t="s">
        <v>286</v>
      </c>
      <c r="B3" s="130">
        <f t="shared" ref="B3:M3" si="0">$N$3/12</f>
        <v>0</v>
      </c>
      <c r="C3" s="130">
        <f t="shared" si="0"/>
        <v>0</v>
      </c>
      <c r="D3" s="130">
        <f t="shared" si="0"/>
        <v>0</v>
      </c>
      <c r="E3" s="130">
        <f t="shared" si="0"/>
        <v>0</v>
      </c>
      <c r="F3" s="130">
        <f t="shared" si="0"/>
        <v>0</v>
      </c>
      <c r="G3" s="130">
        <f t="shared" si="0"/>
        <v>0</v>
      </c>
      <c r="H3" s="130">
        <f t="shared" si="0"/>
        <v>0</v>
      </c>
      <c r="I3" s="130">
        <f t="shared" si="0"/>
        <v>0</v>
      </c>
      <c r="J3" s="130">
        <f t="shared" si="0"/>
        <v>0</v>
      </c>
      <c r="K3" s="130">
        <f t="shared" si="0"/>
        <v>0</v>
      </c>
      <c r="L3" s="130">
        <f t="shared" si="0"/>
        <v>0</v>
      </c>
      <c r="M3" s="130">
        <f t="shared" si="0"/>
        <v>0</v>
      </c>
      <c r="N3" s="48">
        <f>Prezzi!L32</f>
        <v>0</v>
      </c>
      <c r="O3" s="1"/>
    </row>
    <row r="4" spans="1:28" x14ac:dyDescent="0.15">
      <c r="A4" s="1" t="s">
        <v>287</v>
      </c>
      <c r="B4" s="64">
        <f>IF(Circolante!$C$28="",0,($N3*Circolante!$C$28)/12)</f>
        <v>0</v>
      </c>
      <c r="C4" s="64">
        <f>IF(Circolante!$C$28="",0,($N3*Circolante!$C$28)/12)</f>
        <v>0</v>
      </c>
      <c r="D4" s="64">
        <f>IF(Circolante!$C$28="",0,($N3*Circolante!$C$28)/12)</f>
        <v>0</v>
      </c>
      <c r="E4" s="64">
        <f>IF(Circolante!$C$28="",0,($N3*Circolante!$C$28)/12)</f>
        <v>0</v>
      </c>
      <c r="F4" s="64">
        <f>IF(Circolante!$C$28="",0,($N3*Circolante!$C$28)/12)</f>
        <v>0</v>
      </c>
      <c r="G4" s="64">
        <f>IF(Circolante!$C$28="",0,($N3*Circolante!$C$28)/12)</f>
        <v>0</v>
      </c>
      <c r="H4" s="64">
        <f>IF(Circolante!$C$28="",0,($N3*Circolante!$C$28)/12)</f>
        <v>0</v>
      </c>
      <c r="I4" s="64">
        <f>IF(Circolante!$C$28="",0,($N3*Circolante!$C$28)/12)</f>
        <v>0</v>
      </c>
      <c r="J4" s="64">
        <f>IF(Circolante!$C$28="",0,($N3*Circolante!$C$28)/12)</f>
        <v>0</v>
      </c>
      <c r="K4" s="64">
        <f>IF(Circolante!$C$28="",0,($N3*Circolante!$C$28)/12)</f>
        <v>0</v>
      </c>
      <c r="L4" s="64">
        <f>IF(Circolante!$C$28="",0,($N3*Circolante!$C$28)/12)</f>
        <v>0</v>
      </c>
      <c r="M4" s="64">
        <f>IF(Circolante!$C$28="",0,($N3*Circolante!$C$28)/12)</f>
        <v>0</v>
      </c>
      <c r="N4" s="48">
        <f>SUM(B4:M4)</f>
        <v>0</v>
      </c>
      <c r="O4" s="1"/>
    </row>
    <row r="5" spans="1:28" x14ac:dyDescent="0.15">
      <c r="A5" s="1" t="s">
        <v>36</v>
      </c>
      <c r="B5" s="64">
        <f>IF(Circolante!$D$30=0,0,Circolante!G7)</f>
        <v>0</v>
      </c>
      <c r="C5" s="64">
        <f>IF(Circolante!$D$30=0,0,Circolante!H7)</f>
        <v>0</v>
      </c>
      <c r="D5" s="64">
        <f>IF(Circolante!$D$30=0,0,Circolante!I7)</f>
        <v>0</v>
      </c>
      <c r="E5" s="64">
        <f>IF(Circolante!$D$30=0,0,Circolante!J7)</f>
        <v>0</v>
      </c>
      <c r="F5" s="64">
        <f>IF(Circolante!$D$30=0,0,Circolante!K7)</f>
        <v>0</v>
      </c>
      <c r="G5" s="64">
        <f>IF(Circolante!$D$30=0,0,Circolante!L7)</f>
        <v>0</v>
      </c>
      <c r="H5" s="64">
        <f>IF(Circolante!$D$30=0,0,Circolante!M7)</f>
        <v>0</v>
      </c>
      <c r="I5" s="64">
        <f>IF(Circolante!$D$30=0,0,Circolante!N7)</f>
        <v>0</v>
      </c>
      <c r="J5" s="64">
        <f>IF(Circolante!$D$30=0,0,Circolante!O7)</f>
        <v>0</v>
      </c>
      <c r="K5" s="64">
        <f>IF(Circolante!$D$30=0,0,Circolante!P7)</f>
        <v>0</v>
      </c>
      <c r="L5" s="64">
        <f>IF(Circolante!$D$30=0,0,Circolante!Q7)</f>
        <v>0</v>
      </c>
      <c r="M5" s="64">
        <f>IF(Circolante!$D$30=0,0,Circolante!R7)</f>
        <v>0</v>
      </c>
      <c r="N5" s="48">
        <f>SUM(B5:M5)</f>
        <v>0</v>
      </c>
      <c r="O5" s="1"/>
    </row>
    <row r="6" spans="1:28" x14ac:dyDescent="0.15">
      <c r="A6" s="1" t="s">
        <v>90</v>
      </c>
      <c r="B6" s="671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48">
        <f>SUM(B6:M6)</f>
        <v>0</v>
      </c>
      <c r="O6" s="1"/>
    </row>
    <row r="7" spans="1:28" x14ac:dyDescent="0.15">
      <c r="A7" s="50" t="s">
        <v>288</v>
      </c>
      <c r="B7" s="52">
        <f>SUM(B4:B6)</f>
        <v>0</v>
      </c>
      <c r="C7" s="52">
        <f>SUM(C4:C6)</f>
        <v>0</v>
      </c>
      <c r="D7" s="52">
        <f>SUM(D4:D6)</f>
        <v>0</v>
      </c>
      <c r="E7" s="52">
        <f t="shared" ref="E7:M7" si="1">SUM(E4:E6)</f>
        <v>0</v>
      </c>
      <c r="F7" s="52">
        <f t="shared" si="1"/>
        <v>0</v>
      </c>
      <c r="G7" s="52">
        <f t="shared" si="1"/>
        <v>0</v>
      </c>
      <c r="H7" s="52">
        <f t="shared" si="1"/>
        <v>0</v>
      </c>
      <c r="I7" s="52">
        <f t="shared" si="1"/>
        <v>0</v>
      </c>
      <c r="J7" s="52">
        <f t="shared" si="1"/>
        <v>0</v>
      </c>
      <c r="K7" s="52">
        <f t="shared" si="1"/>
        <v>0</v>
      </c>
      <c r="L7" s="52">
        <f t="shared" si="1"/>
        <v>0</v>
      </c>
      <c r="M7" s="52">
        <f t="shared" si="1"/>
        <v>0</v>
      </c>
      <c r="N7" s="677">
        <f>SUM(B7:M7)</f>
        <v>0</v>
      </c>
      <c r="O7" s="1"/>
    </row>
    <row r="8" spans="1:28" ht="14" thickBot="1" x14ac:dyDescent="0.2">
      <c r="A8" s="1" t="s">
        <v>289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  <c r="O8" s="75" t="s">
        <v>290</v>
      </c>
      <c r="V8" s="133"/>
      <c r="W8" s="131"/>
      <c r="X8" s="131"/>
      <c r="Y8" s="131"/>
      <c r="Z8" s="131"/>
      <c r="AA8" s="131"/>
      <c r="AB8" s="131"/>
    </row>
    <row r="9" spans="1:28" x14ac:dyDescent="0.15">
      <c r="A9" s="1" t="s">
        <v>514</v>
      </c>
      <c r="B9" s="64">
        <f t="shared" ref="B9:B40" si="2">IF($O9="12",$N9/12,IF($O9="I",$N9,0))</f>
        <v>0</v>
      </c>
      <c r="C9" s="64">
        <f t="shared" ref="C9:C40" si="3">IF(OR($O9="12",$O9="6"),$N9/O9,0)</f>
        <v>0</v>
      </c>
      <c r="D9" s="64">
        <f t="shared" ref="D9:D40" si="4">IF(OR($O9="12",$O9="4"),$N9/$O9,0)</f>
        <v>0</v>
      </c>
      <c r="E9" s="64">
        <f t="shared" ref="E9:E40" si="5">IF(OR($O9="12",$O9="6",$O9="3"),$N9/$O9,0)</f>
        <v>0</v>
      </c>
      <c r="F9" s="64">
        <f t="shared" ref="F9:F40" si="6">IF($O9="12",$N9/12,0)</f>
        <v>0</v>
      </c>
      <c r="G9" s="64">
        <f t="shared" ref="G9:G40" si="7">IF(OR($O9="12",$O9="6",$O9="4",$O9="2"),$N9/$O9,0)</f>
        <v>0</v>
      </c>
      <c r="H9" s="64">
        <f t="shared" ref="H9:H40" si="8">IF($O9="12",$N9/12,0)</f>
        <v>0</v>
      </c>
      <c r="I9" s="64">
        <f t="shared" ref="I9:I40" si="9">IF(OR($O9="12",$O9="6",$O9="3"),$N9/$O9,0)</f>
        <v>0</v>
      </c>
      <c r="J9" s="64">
        <f t="shared" ref="J9:J40" si="10">IF(OR($O9="12",$O9="4"),$N9/$O9,0)</f>
        <v>0</v>
      </c>
      <c r="K9" s="64">
        <f t="shared" ref="K9:K40" si="11">IF(OR($O9="12",$O9="6"),$N9/$O9,0)</f>
        <v>0</v>
      </c>
      <c r="L9" s="64">
        <f t="shared" ref="L9:L40" si="12">IF($O9="12",$N9/12,0)</f>
        <v>0</v>
      </c>
      <c r="M9" s="64">
        <f t="shared" ref="M9:M40" si="13">IF(OR($O9="12",$O9="6",$O9="4",$O9="3",$O9="2"),$N9/$O9,IF($O9="F",$N9,0))</f>
        <v>0</v>
      </c>
      <c r="N9" s="48">
        <f>Costi!E8</f>
        <v>0</v>
      </c>
      <c r="O9" s="672" t="s">
        <v>291</v>
      </c>
      <c r="P9" s="47" t="s">
        <v>292</v>
      </c>
    </row>
    <row r="10" spans="1:28" x14ac:dyDescent="0.15">
      <c r="A10" s="46" t="s">
        <v>293</v>
      </c>
      <c r="B10" s="65">
        <f t="shared" si="2"/>
        <v>0</v>
      </c>
      <c r="C10" s="65">
        <f t="shared" si="3"/>
        <v>0</v>
      </c>
      <c r="D10" s="65">
        <f t="shared" si="4"/>
        <v>0</v>
      </c>
      <c r="E10" s="65">
        <f t="shared" si="5"/>
        <v>0</v>
      </c>
      <c r="F10" s="65">
        <f t="shared" si="6"/>
        <v>0</v>
      </c>
      <c r="G10" s="65">
        <f t="shared" si="7"/>
        <v>0</v>
      </c>
      <c r="H10" s="65">
        <f t="shared" si="8"/>
        <v>0</v>
      </c>
      <c r="I10" s="65">
        <f t="shared" si="9"/>
        <v>0</v>
      </c>
      <c r="J10" s="65">
        <f t="shared" si="10"/>
        <v>0</v>
      </c>
      <c r="K10" s="65">
        <f t="shared" si="11"/>
        <v>0</v>
      </c>
      <c r="L10" s="65">
        <f t="shared" si="12"/>
        <v>0</v>
      </c>
      <c r="M10" s="65">
        <f t="shared" si="13"/>
        <v>0</v>
      </c>
      <c r="N10" s="49">
        <f>SUM(Costi!E4:E7)</f>
        <v>0</v>
      </c>
      <c r="O10" s="672" t="s">
        <v>291</v>
      </c>
      <c r="P10" s="47" t="s">
        <v>294</v>
      </c>
    </row>
    <row r="11" spans="1:28" x14ac:dyDescent="0.15">
      <c r="A11" s="46" t="s">
        <v>295</v>
      </c>
      <c r="B11" s="65">
        <f t="shared" si="2"/>
        <v>0</v>
      </c>
      <c r="C11" s="65">
        <f t="shared" si="3"/>
        <v>0</v>
      </c>
      <c r="D11" s="65">
        <f t="shared" si="4"/>
        <v>0</v>
      </c>
      <c r="E11" s="65">
        <f t="shared" si="5"/>
        <v>0</v>
      </c>
      <c r="F11" s="65">
        <f t="shared" si="6"/>
        <v>0</v>
      </c>
      <c r="G11" s="65">
        <f t="shared" si="7"/>
        <v>0</v>
      </c>
      <c r="H11" s="65">
        <f t="shared" si="8"/>
        <v>0</v>
      </c>
      <c r="I11" s="65">
        <f t="shared" si="9"/>
        <v>0</v>
      </c>
      <c r="J11" s="65">
        <f t="shared" si="10"/>
        <v>0</v>
      </c>
      <c r="K11" s="65">
        <f t="shared" si="11"/>
        <v>0</v>
      </c>
      <c r="L11" s="65">
        <f t="shared" si="12"/>
        <v>0</v>
      </c>
      <c r="M11" s="65">
        <f t="shared" si="13"/>
        <v>0</v>
      </c>
      <c r="N11" s="49">
        <f>Costi!E16-Costi!J27</f>
        <v>0</v>
      </c>
      <c r="O11" s="672" t="s">
        <v>291</v>
      </c>
      <c r="P11" s="47" t="s">
        <v>296</v>
      </c>
    </row>
    <row r="12" spans="1:28" x14ac:dyDescent="0.15">
      <c r="A12" s="1" t="str">
        <f>Costi!B19</f>
        <v xml:space="preserve">AVS/AI/IPG </v>
      </c>
      <c r="B12" s="64">
        <f t="shared" si="2"/>
        <v>0</v>
      </c>
      <c r="C12" s="64">
        <f t="shared" si="3"/>
        <v>0</v>
      </c>
      <c r="D12" s="64">
        <f t="shared" si="4"/>
        <v>0</v>
      </c>
      <c r="E12" s="64">
        <f t="shared" si="5"/>
        <v>0</v>
      </c>
      <c r="F12" s="64">
        <f t="shared" si="6"/>
        <v>0</v>
      </c>
      <c r="G12" s="64">
        <f t="shared" si="7"/>
        <v>0</v>
      </c>
      <c r="H12" s="64">
        <f t="shared" si="8"/>
        <v>0</v>
      </c>
      <c r="I12" s="64">
        <f t="shared" si="9"/>
        <v>0</v>
      </c>
      <c r="J12" s="64">
        <f t="shared" si="10"/>
        <v>0</v>
      </c>
      <c r="K12" s="64">
        <f t="shared" si="11"/>
        <v>0</v>
      </c>
      <c r="L12" s="64">
        <f t="shared" si="12"/>
        <v>0</v>
      </c>
      <c r="M12" s="64">
        <f t="shared" si="13"/>
        <v>0</v>
      </c>
      <c r="N12" s="48">
        <f>Costi!E19</f>
        <v>0</v>
      </c>
      <c r="O12" s="672" t="s">
        <v>297</v>
      </c>
      <c r="P12" s="47" t="s">
        <v>298</v>
      </c>
    </row>
    <row r="13" spans="1:28" x14ac:dyDescent="0.15">
      <c r="A13" s="1" t="str">
        <f>Costi!B24</f>
        <v xml:space="preserve">Perdita salario per malattia   </v>
      </c>
      <c r="B13" s="64">
        <f t="shared" si="2"/>
        <v>0</v>
      </c>
      <c r="C13" s="64">
        <f t="shared" si="3"/>
        <v>0</v>
      </c>
      <c r="D13" s="64">
        <f t="shared" si="4"/>
        <v>0</v>
      </c>
      <c r="E13" s="64">
        <f t="shared" si="5"/>
        <v>0</v>
      </c>
      <c r="F13" s="64">
        <f t="shared" si="6"/>
        <v>0</v>
      </c>
      <c r="G13" s="64">
        <f t="shared" si="7"/>
        <v>0</v>
      </c>
      <c r="H13" s="64">
        <f t="shared" si="8"/>
        <v>0</v>
      </c>
      <c r="I13" s="64">
        <f t="shared" si="9"/>
        <v>0</v>
      </c>
      <c r="J13" s="64">
        <f t="shared" si="10"/>
        <v>0</v>
      </c>
      <c r="K13" s="64">
        <f t="shared" si="11"/>
        <v>0</v>
      </c>
      <c r="L13" s="64">
        <f t="shared" si="12"/>
        <v>0</v>
      </c>
      <c r="M13" s="64">
        <f t="shared" si="13"/>
        <v>0</v>
      </c>
      <c r="N13" s="48">
        <f>Costi!E24</f>
        <v>0</v>
      </c>
      <c r="O13" s="672" t="s">
        <v>299</v>
      </c>
      <c r="P13" s="47" t="s">
        <v>300</v>
      </c>
    </row>
    <row r="14" spans="1:28" x14ac:dyDescent="0.15">
      <c r="A14" s="1" t="s">
        <v>301</v>
      </c>
      <c r="B14" s="64">
        <f t="shared" si="2"/>
        <v>0</v>
      </c>
      <c r="C14" s="64">
        <f t="shared" si="3"/>
        <v>0</v>
      </c>
      <c r="D14" s="64">
        <f t="shared" si="4"/>
        <v>0</v>
      </c>
      <c r="E14" s="64">
        <f t="shared" si="5"/>
        <v>0</v>
      </c>
      <c r="F14" s="64">
        <f t="shared" si="6"/>
        <v>0</v>
      </c>
      <c r="G14" s="64">
        <f t="shared" si="7"/>
        <v>0</v>
      </c>
      <c r="H14" s="64">
        <f t="shared" si="8"/>
        <v>0</v>
      </c>
      <c r="I14" s="64">
        <f t="shared" si="9"/>
        <v>0</v>
      </c>
      <c r="J14" s="64">
        <f t="shared" si="10"/>
        <v>0</v>
      </c>
      <c r="K14" s="64">
        <f t="shared" si="11"/>
        <v>0</v>
      </c>
      <c r="L14" s="64">
        <f t="shared" si="12"/>
        <v>0</v>
      </c>
      <c r="M14" s="64">
        <f t="shared" si="13"/>
        <v>0</v>
      </c>
      <c r="N14" s="48">
        <f>Costi!E20+Costi!E21+Costi!E22+Costi!E25</f>
        <v>0</v>
      </c>
      <c r="O14" s="672" t="s">
        <v>297</v>
      </c>
      <c r="P14" s="47" t="s">
        <v>302</v>
      </c>
    </row>
    <row r="15" spans="1:28" x14ac:dyDescent="0.15">
      <c r="A15" s="46" t="str">
        <f>Costi!B26</f>
        <v>Recupero da prestazioni sociali (SI o No)</v>
      </c>
      <c r="B15" s="65">
        <f t="shared" si="2"/>
        <v>0</v>
      </c>
      <c r="C15" s="65">
        <f t="shared" si="3"/>
        <v>0</v>
      </c>
      <c r="D15" s="65">
        <f t="shared" si="4"/>
        <v>0</v>
      </c>
      <c r="E15" s="65">
        <f t="shared" si="5"/>
        <v>0</v>
      </c>
      <c r="F15" s="65">
        <f t="shared" si="6"/>
        <v>0</v>
      </c>
      <c r="G15" s="65">
        <f t="shared" si="7"/>
        <v>0</v>
      </c>
      <c r="H15" s="65">
        <f t="shared" si="8"/>
        <v>0</v>
      </c>
      <c r="I15" s="65">
        <f t="shared" si="9"/>
        <v>0</v>
      </c>
      <c r="J15" s="65">
        <f t="shared" si="10"/>
        <v>0</v>
      </c>
      <c r="K15" s="65">
        <f t="shared" si="11"/>
        <v>0</v>
      </c>
      <c r="L15" s="65">
        <f t="shared" si="12"/>
        <v>0</v>
      </c>
      <c r="M15" s="65">
        <f t="shared" si="13"/>
        <v>0</v>
      </c>
      <c r="N15" s="49">
        <f>Costi!E26</f>
        <v>0</v>
      </c>
      <c r="O15" s="672" t="s">
        <v>303</v>
      </c>
      <c r="P15" s="47" t="s">
        <v>304</v>
      </c>
    </row>
    <row r="16" spans="1:28" x14ac:dyDescent="0.15">
      <c r="A16" s="1" t="s">
        <v>305</v>
      </c>
      <c r="B16" s="64">
        <f t="shared" si="2"/>
        <v>0</v>
      </c>
      <c r="C16" s="64">
        <f t="shared" si="3"/>
        <v>0</v>
      </c>
      <c r="D16" s="64">
        <f t="shared" si="4"/>
        <v>0</v>
      </c>
      <c r="E16" s="64">
        <f t="shared" si="5"/>
        <v>0</v>
      </c>
      <c r="F16" s="64">
        <f t="shared" si="6"/>
        <v>0</v>
      </c>
      <c r="G16" s="64">
        <f t="shared" si="7"/>
        <v>0</v>
      </c>
      <c r="H16" s="64">
        <f t="shared" si="8"/>
        <v>0</v>
      </c>
      <c r="I16" s="64">
        <f t="shared" si="9"/>
        <v>0</v>
      </c>
      <c r="J16" s="64">
        <f t="shared" si="10"/>
        <v>0</v>
      </c>
      <c r="K16" s="64">
        <f t="shared" si="11"/>
        <v>0</v>
      </c>
      <c r="L16" s="64">
        <f t="shared" si="12"/>
        <v>0</v>
      </c>
      <c r="M16" s="64">
        <f t="shared" si="13"/>
        <v>0</v>
      </c>
      <c r="N16" s="48">
        <f>Costi!E30</f>
        <v>0</v>
      </c>
      <c r="O16" s="672" t="s">
        <v>291</v>
      </c>
      <c r="P16" s="47"/>
    </row>
    <row r="17" spans="1:16" x14ac:dyDescent="0.15">
      <c r="A17" s="46" t="s">
        <v>306</v>
      </c>
      <c r="B17" s="65">
        <f t="shared" si="2"/>
        <v>0</v>
      </c>
      <c r="C17" s="65">
        <f t="shared" si="3"/>
        <v>0</v>
      </c>
      <c r="D17" s="65">
        <f t="shared" si="4"/>
        <v>0</v>
      </c>
      <c r="E17" s="65">
        <f t="shared" si="5"/>
        <v>0</v>
      </c>
      <c r="F17" s="65">
        <f t="shared" si="6"/>
        <v>0</v>
      </c>
      <c r="G17" s="65">
        <f t="shared" si="7"/>
        <v>0</v>
      </c>
      <c r="H17" s="65">
        <f t="shared" si="8"/>
        <v>0</v>
      </c>
      <c r="I17" s="65">
        <f t="shared" si="9"/>
        <v>0</v>
      </c>
      <c r="J17" s="65">
        <f t="shared" si="10"/>
        <v>0</v>
      </c>
      <c r="K17" s="65">
        <f t="shared" si="11"/>
        <v>0</v>
      </c>
      <c r="L17" s="65">
        <f t="shared" si="12"/>
        <v>0</v>
      </c>
      <c r="M17" s="65">
        <f t="shared" si="13"/>
        <v>0</v>
      </c>
      <c r="N17" s="49">
        <f>+Costi!E31+Costi!E32</f>
        <v>0</v>
      </c>
      <c r="O17" s="672" t="s">
        <v>291</v>
      </c>
      <c r="P17" s="68"/>
    </row>
    <row r="18" spans="1:16" x14ac:dyDescent="0.15">
      <c r="A18" s="46" t="s">
        <v>307</v>
      </c>
      <c r="B18" s="65">
        <f t="shared" si="2"/>
        <v>0</v>
      </c>
      <c r="C18" s="65">
        <f t="shared" si="3"/>
        <v>0</v>
      </c>
      <c r="D18" s="65">
        <f t="shared" si="4"/>
        <v>0</v>
      </c>
      <c r="E18" s="65">
        <f t="shared" si="5"/>
        <v>0</v>
      </c>
      <c r="F18" s="65">
        <f t="shared" si="6"/>
        <v>0</v>
      </c>
      <c r="G18" s="65">
        <f t="shared" si="7"/>
        <v>0</v>
      </c>
      <c r="H18" s="65">
        <f t="shared" si="8"/>
        <v>0</v>
      </c>
      <c r="I18" s="65">
        <f t="shared" si="9"/>
        <v>0</v>
      </c>
      <c r="J18" s="65">
        <f t="shared" si="10"/>
        <v>0</v>
      </c>
      <c r="K18" s="65">
        <f t="shared" si="11"/>
        <v>0</v>
      </c>
      <c r="L18" s="65">
        <f t="shared" si="12"/>
        <v>0</v>
      </c>
      <c r="M18" s="65">
        <f t="shared" si="13"/>
        <v>0</v>
      </c>
      <c r="N18" s="49">
        <f>Costi!E39</f>
        <v>0</v>
      </c>
      <c r="O18" s="672" t="s">
        <v>291</v>
      </c>
      <c r="P18" s="47"/>
    </row>
    <row r="19" spans="1:16" x14ac:dyDescent="0.15">
      <c r="A19" s="1" t="str">
        <f>Costi!B48</f>
        <v>Carburanti</v>
      </c>
      <c r="B19" s="64">
        <f t="shared" si="2"/>
        <v>0</v>
      </c>
      <c r="C19" s="64">
        <f t="shared" si="3"/>
        <v>0</v>
      </c>
      <c r="D19" s="64">
        <f t="shared" si="4"/>
        <v>0</v>
      </c>
      <c r="E19" s="64">
        <f t="shared" si="5"/>
        <v>0</v>
      </c>
      <c r="F19" s="64">
        <f t="shared" si="6"/>
        <v>0</v>
      </c>
      <c r="G19" s="64">
        <f t="shared" si="7"/>
        <v>0</v>
      </c>
      <c r="H19" s="64">
        <f t="shared" si="8"/>
        <v>0</v>
      </c>
      <c r="I19" s="64">
        <f t="shared" si="9"/>
        <v>0</v>
      </c>
      <c r="J19" s="64">
        <f t="shared" si="10"/>
        <v>0</v>
      </c>
      <c r="K19" s="64">
        <f t="shared" si="11"/>
        <v>0</v>
      </c>
      <c r="L19" s="64">
        <f t="shared" si="12"/>
        <v>0</v>
      </c>
      <c r="M19" s="64">
        <f t="shared" si="13"/>
        <v>0</v>
      </c>
      <c r="N19" s="48">
        <f>Costi!E48</f>
        <v>0</v>
      </c>
      <c r="O19" s="672" t="s">
        <v>291</v>
      </c>
      <c r="P19" s="47"/>
    </row>
    <row r="20" spans="1:16" x14ac:dyDescent="0.15">
      <c r="A20" s="1" t="str">
        <f>Costi!B49</f>
        <v>Assicurazioni</v>
      </c>
      <c r="B20" s="64">
        <f t="shared" si="2"/>
        <v>0</v>
      </c>
      <c r="C20" s="64">
        <f t="shared" si="3"/>
        <v>0</v>
      </c>
      <c r="D20" s="64">
        <f t="shared" si="4"/>
        <v>0</v>
      </c>
      <c r="E20" s="64">
        <f t="shared" si="5"/>
        <v>0</v>
      </c>
      <c r="F20" s="64">
        <f t="shared" si="6"/>
        <v>0</v>
      </c>
      <c r="G20" s="64">
        <f t="shared" si="7"/>
        <v>0</v>
      </c>
      <c r="H20" s="64">
        <f t="shared" si="8"/>
        <v>0</v>
      </c>
      <c r="I20" s="64">
        <f t="shared" si="9"/>
        <v>0</v>
      </c>
      <c r="J20" s="64">
        <f t="shared" si="10"/>
        <v>0</v>
      </c>
      <c r="K20" s="64">
        <f t="shared" si="11"/>
        <v>0</v>
      </c>
      <c r="L20" s="64">
        <f t="shared" si="12"/>
        <v>0</v>
      </c>
      <c r="M20" s="64">
        <f t="shared" si="13"/>
        <v>0</v>
      </c>
      <c r="N20" s="48">
        <f>Costi!E49</f>
        <v>0</v>
      </c>
      <c r="O20" s="672" t="s">
        <v>299</v>
      </c>
      <c r="P20" s="47"/>
    </row>
    <row r="21" spans="1:16" x14ac:dyDescent="0.15">
      <c r="A21" s="1" t="str">
        <f>Costi!B50</f>
        <v>Tasse circolazione</v>
      </c>
      <c r="B21" s="64">
        <f t="shared" si="2"/>
        <v>0</v>
      </c>
      <c r="C21" s="64">
        <f t="shared" si="3"/>
        <v>0</v>
      </c>
      <c r="D21" s="64">
        <f t="shared" si="4"/>
        <v>0</v>
      </c>
      <c r="E21" s="64">
        <f t="shared" si="5"/>
        <v>0</v>
      </c>
      <c r="F21" s="64">
        <f t="shared" si="6"/>
        <v>0</v>
      </c>
      <c r="G21" s="64">
        <f t="shared" si="7"/>
        <v>0</v>
      </c>
      <c r="H21" s="64">
        <f t="shared" si="8"/>
        <v>0</v>
      </c>
      <c r="I21" s="64">
        <f t="shared" si="9"/>
        <v>0</v>
      </c>
      <c r="J21" s="64">
        <f t="shared" si="10"/>
        <v>0</v>
      </c>
      <c r="K21" s="64">
        <f t="shared" si="11"/>
        <v>0</v>
      </c>
      <c r="L21" s="64">
        <f t="shared" si="12"/>
        <v>0</v>
      </c>
      <c r="M21" s="64">
        <f t="shared" si="13"/>
        <v>0</v>
      </c>
      <c r="N21" s="48">
        <f>Costi!E50</f>
        <v>0</v>
      </c>
      <c r="O21" s="672" t="s">
        <v>308</v>
      </c>
      <c r="P21" s="102"/>
    </row>
    <row r="22" spans="1:16" x14ac:dyDescent="0.15">
      <c r="A22" s="46" t="s">
        <v>309</v>
      </c>
      <c r="B22" s="65">
        <f t="shared" si="2"/>
        <v>0</v>
      </c>
      <c r="C22" s="65">
        <f t="shared" si="3"/>
        <v>0</v>
      </c>
      <c r="D22" s="65">
        <f t="shared" si="4"/>
        <v>0</v>
      </c>
      <c r="E22" s="65">
        <f t="shared" si="5"/>
        <v>0</v>
      </c>
      <c r="F22" s="65">
        <f t="shared" si="6"/>
        <v>0</v>
      </c>
      <c r="G22" s="65">
        <f t="shared" si="7"/>
        <v>0</v>
      </c>
      <c r="H22" s="65">
        <f t="shared" si="8"/>
        <v>0</v>
      </c>
      <c r="I22" s="65">
        <f t="shared" si="9"/>
        <v>0</v>
      </c>
      <c r="J22" s="65">
        <f t="shared" si="10"/>
        <v>0</v>
      </c>
      <c r="K22" s="65">
        <f t="shared" si="11"/>
        <v>0</v>
      </c>
      <c r="L22" s="65">
        <f t="shared" si="12"/>
        <v>0</v>
      </c>
      <c r="M22" s="65">
        <f t="shared" si="13"/>
        <v>0</v>
      </c>
      <c r="N22" s="49">
        <f>Costi!E47+Costi!E51+Costi!E52</f>
        <v>0</v>
      </c>
      <c r="O22" s="672" t="s">
        <v>503</v>
      </c>
    </row>
    <row r="23" spans="1:16" x14ac:dyDescent="0.15">
      <c r="A23" s="46" t="s">
        <v>310</v>
      </c>
      <c r="B23" s="65">
        <f t="shared" si="2"/>
        <v>0</v>
      </c>
      <c r="C23" s="65">
        <f t="shared" si="3"/>
        <v>0</v>
      </c>
      <c r="D23" s="65">
        <f t="shared" si="4"/>
        <v>0</v>
      </c>
      <c r="E23" s="65">
        <f t="shared" si="5"/>
        <v>0</v>
      </c>
      <c r="F23" s="65">
        <f t="shared" si="6"/>
        <v>0</v>
      </c>
      <c r="G23" s="65">
        <f t="shared" si="7"/>
        <v>0</v>
      </c>
      <c r="H23" s="65">
        <f t="shared" si="8"/>
        <v>0</v>
      </c>
      <c r="I23" s="65">
        <f t="shared" si="9"/>
        <v>0</v>
      </c>
      <c r="J23" s="65">
        <f t="shared" si="10"/>
        <v>0</v>
      </c>
      <c r="K23" s="65">
        <f t="shared" si="11"/>
        <v>0</v>
      </c>
      <c r="L23" s="65">
        <f t="shared" si="12"/>
        <v>0</v>
      </c>
      <c r="M23" s="65">
        <f t="shared" si="13"/>
        <v>0</v>
      </c>
      <c r="N23" s="49">
        <f>Costi!E59</f>
        <v>0</v>
      </c>
      <c r="O23" s="672" t="s">
        <v>297</v>
      </c>
    </row>
    <row r="24" spans="1:16" x14ac:dyDescent="0.15">
      <c r="A24" s="46" t="str">
        <f>Costi!B64</f>
        <v>Tasse in generale</v>
      </c>
      <c r="B24" s="65">
        <f t="shared" si="2"/>
        <v>0</v>
      </c>
      <c r="C24" s="65">
        <f t="shared" si="3"/>
        <v>0</v>
      </c>
      <c r="D24" s="65">
        <f t="shared" si="4"/>
        <v>0</v>
      </c>
      <c r="E24" s="65">
        <f t="shared" si="5"/>
        <v>0</v>
      </c>
      <c r="F24" s="65">
        <f t="shared" si="6"/>
        <v>0</v>
      </c>
      <c r="G24" s="65">
        <f t="shared" si="7"/>
        <v>0</v>
      </c>
      <c r="H24" s="65">
        <f t="shared" si="8"/>
        <v>0</v>
      </c>
      <c r="I24" s="65">
        <f t="shared" si="9"/>
        <v>0</v>
      </c>
      <c r="J24" s="65">
        <f t="shared" si="10"/>
        <v>0</v>
      </c>
      <c r="K24" s="65">
        <f t="shared" si="11"/>
        <v>0</v>
      </c>
      <c r="L24" s="65">
        <f t="shared" si="12"/>
        <v>0</v>
      </c>
      <c r="M24" s="65">
        <f t="shared" si="13"/>
        <v>0</v>
      </c>
      <c r="N24" s="49">
        <f>Costi!E66</f>
        <v>0</v>
      </c>
      <c r="O24" s="672" t="s">
        <v>303</v>
      </c>
    </row>
    <row r="25" spans="1:16" x14ac:dyDescent="0.15">
      <c r="A25" s="1" t="str">
        <f>Costi!B69</f>
        <v>Elettricità</v>
      </c>
      <c r="B25" s="64">
        <f t="shared" si="2"/>
        <v>0</v>
      </c>
      <c r="C25" s="64">
        <f t="shared" si="3"/>
        <v>0</v>
      </c>
      <c r="D25" s="64">
        <f t="shared" si="4"/>
        <v>0</v>
      </c>
      <c r="E25" s="64">
        <f t="shared" si="5"/>
        <v>0</v>
      </c>
      <c r="F25" s="64">
        <f t="shared" si="6"/>
        <v>0</v>
      </c>
      <c r="G25" s="64">
        <f t="shared" si="7"/>
        <v>0</v>
      </c>
      <c r="H25" s="64">
        <f t="shared" si="8"/>
        <v>0</v>
      </c>
      <c r="I25" s="64">
        <f t="shared" si="9"/>
        <v>0</v>
      </c>
      <c r="J25" s="64">
        <f t="shared" si="10"/>
        <v>0</v>
      </c>
      <c r="K25" s="64">
        <f t="shared" si="11"/>
        <v>0</v>
      </c>
      <c r="L25" s="64">
        <f t="shared" si="12"/>
        <v>0</v>
      </c>
      <c r="M25" s="64">
        <f t="shared" si="13"/>
        <v>0</v>
      </c>
      <c r="N25" s="48">
        <f>Costi!E69</f>
        <v>0</v>
      </c>
      <c r="O25" s="672" t="s">
        <v>297</v>
      </c>
    </row>
    <row r="26" spans="1:16" x14ac:dyDescent="0.15">
      <c r="A26" s="1" t="str">
        <f>Costi!B71</f>
        <v>Acqua</v>
      </c>
      <c r="B26" s="64">
        <f t="shared" si="2"/>
        <v>0</v>
      </c>
      <c r="C26" s="64">
        <f t="shared" si="3"/>
        <v>0</v>
      </c>
      <c r="D26" s="64">
        <f t="shared" si="4"/>
        <v>0</v>
      </c>
      <c r="E26" s="64">
        <f t="shared" si="5"/>
        <v>0</v>
      </c>
      <c r="F26" s="64">
        <f t="shared" si="6"/>
        <v>0</v>
      </c>
      <c r="G26" s="64">
        <f t="shared" si="7"/>
        <v>0</v>
      </c>
      <c r="H26" s="64">
        <f t="shared" si="8"/>
        <v>0</v>
      </c>
      <c r="I26" s="64">
        <f t="shared" si="9"/>
        <v>0</v>
      </c>
      <c r="J26" s="64">
        <f t="shared" si="10"/>
        <v>0</v>
      </c>
      <c r="K26" s="64">
        <f t="shared" si="11"/>
        <v>0</v>
      </c>
      <c r="L26" s="64">
        <f t="shared" si="12"/>
        <v>0</v>
      </c>
      <c r="M26" s="64">
        <f t="shared" si="13"/>
        <v>0</v>
      </c>
      <c r="N26" s="48">
        <f>Costi!E71</f>
        <v>0</v>
      </c>
      <c r="O26" s="672" t="s">
        <v>299</v>
      </c>
    </row>
    <row r="27" spans="1:16" x14ac:dyDescent="0.15">
      <c r="A27" s="46" t="str">
        <f>Costi!B72</f>
        <v>Smaltimento rifiuti</v>
      </c>
      <c r="B27" s="65">
        <f t="shared" si="2"/>
        <v>0</v>
      </c>
      <c r="C27" s="65">
        <f t="shared" si="3"/>
        <v>0</v>
      </c>
      <c r="D27" s="65">
        <f t="shared" si="4"/>
        <v>0</v>
      </c>
      <c r="E27" s="65">
        <f t="shared" si="5"/>
        <v>0</v>
      </c>
      <c r="F27" s="65">
        <f t="shared" si="6"/>
        <v>0</v>
      </c>
      <c r="G27" s="65">
        <f t="shared" si="7"/>
        <v>0</v>
      </c>
      <c r="H27" s="65">
        <f t="shared" si="8"/>
        <v>0</v>
      </c>
      <c r="I27" s="65">
        <f t="shared" si="9"/>
        <v>0</v>
      </c>
      <c r="J27" s="65">
        <f t="shared" si="10"/>
        <v>0</v>
      </c>
      <c r="K27" s="65">
        <f t="shared" si="11"/>
        <v>0</v>
      </c>
      <c r="L27" s="65">
        <f t="shared" si="12"/>
        <v>0</v>
      </c>
      <c r="M27" s="65">
        <f t="shared" si="13"/>
        <v>0</v>
      </c>
      <c r="N27" s="49">
        <f>Costi!E72</f>
        <v>0</v>
      </c>
      <c r="O27" s="672" t="s">
        <v>303</v>
      </c>
    </row>
    <row r="28" spans="1:16" x14ac:dyDescent="0.15">
      <c r="A28" s="1" t="str">
        <f>Costi!B77</f>
        <v>Stampanti e fotocopiatrici</v>
      </c>
      <c r="B28" s="64">
        <f t="shared" si="2"/>
        <v>0</v>
      </c>
      <c r="C28" s="64">
        <f t="shared" si="3"/>
        <v>0</v>
      </c>
      <c r="D28" s="64">
        <f t="shared" si="4"/>
        <v>0</v>
      </c>
      <c r="E28" s="64">
        <f t="shared" si="5"/>
        <v>0</v>
      </c>
      <c r="F28" s="64">
        <f t="shared" si="6"/>
        <v>0</v>
      </c>
      <c r="G28" s="64">
        <f t="shared" si="7"/>
        <v>0</v>
      </c>
      <c r="H28" s="64">
        <f t="shared" si="8"/>
        <v>0</v>
      </c>
      <c r="I28" s="64">
        <f t="shared" si="9"/>
        <v>0</v>
      </c>
      <c r="J28" s="64">
        <f t="shared" si="10"/>
        <v>0</v>
      </c>
      <c r="K28" s="64">
        <f t="shared" si="11"/>
        <v>0</v>
      </c>
      <c r="L28" s="64">
        <f t="shared" si="12"/>
        <v>0</v>
      </c>
      <c r="M28" s="64">
        <f t="shared" si="13"/>
        <v>0</v>
      </c>
      <c r="N28" s="48">
        <f>Costi!E77+Costi!E76</f>
        <v>0</v>
      </c>
      <c r="O28" s="672" t="s">
        <v>291</v>
      </c>
    </row>
    <row r="29" spans="1:16" x14ac:dyDescent="0.15">
      <c r="A29" s="1" t="str">
        <f>Costi!B78</f>
        <v>Telefono, fax, E-Mail</v>
      </c>
      <c r="B29" s="64">
        <f t="shared" si="2"/>
        <v>0</v>
      </c>
      <c r="C29" s="64">
        <f t="shared" si="3"/>
        <v>0</v>
      </c>
      <c r="D29" s="64">
        <f t="shared" si="4"/>
        <v>0</v>
      </c>
      <c r="E29" s="64">
        <f t="shared" si="5"/>
        <v>0</v>
      </c>
      <c r="F29" s="64">
        <f t="shared" si="6"/>
        <v>0</v>
      </c>
      <c r="G29" s="64">
        <f t="shared" si="7"/>
        <v>0</v>
      </c>
      <c r="H29" s="64">
        <f t="shared" si="8"/>
        <v>0</v>
      </c>
      <c r="I29" s="64">
        <f t="shared" si="9"/>
        <v>0</v>
      </c>
      <c r="J29" s="64">
        <f t="shared" si="10"/>
        <v>0</v>
      </c>
      <c r="K29" s="64">
        <f t="shared" si="11"/>
        <v>0</v>
      </c>
      <c r="L29" s="64">
        <f t="shared" si="12"/>
        <v>0</v>
      </c>
      <c r="M29" s="64">
        <f t="shared" si="13"/>
        <v>0</v>
      </c>
      <c r="N29" s="48">
        <f>Costi!E78</f>
        <v>0</v>
      </c>
      <c r="O29" s="672" t="s">
        <v>291</v>
      </c>
    </row>
    <row r="30" spans="1:16" x14ac:dyDescent="0.15">
      <c r="A30" s="1" t="str">
        <f>Costi!B79</f>
        <v>Porti</v>
      </c>
      <c r="B30" s="64">
        <f t="shared" si="2"/>
        <v>0</v>
      </c>
      <c r="C30" s="64">
        <f t="shared" si="3"/>
        <v>0</v>
      </c>
      <c r="D30" s="64">
        <f t="shared" si="4"/>
        <v>0</v>
      </c>
      <c r="E30" s="64">
        <f t="shared" si="5"/>
        <v>0</v>
      </c>
      <c r="F30" s="64">
        <f t="shared" si="6"/>
        <v>0</v>
      </c>
      <c r="G30" s="64">
        <f t="shared" si="7"/>
        <v>0</v>
      </c>
      <c r="H30" s="64">
        <f t="shared" si="8"/>
        <v>0</v>
      </c>
      <c r="I30" s="64">
        <f t="shared" si="9"/>
        <v>0</v>
      </c>
      <c r="J30" s="64">
        <f t="shared" si="10"/>
        <v>0</v>
      </c>
      <c r="K30" s="64">
        <f t="shared" si="11"/>
        <v>0</v>
      </c>
      <c r="L30" s="64">
        <f t="shared" si="12"/>
        <v>0</v>
      </c>
      <c r="M30" s="64">
        <f t="shared" si="13"/>
        <v>0</v>
      </c>
      <c r="N30" s="48">
        <f>Costi!E79</f>
        <v>0</v>
      </c>
      <c r="O30" s="672" t="s">
        <v>291</v>
      </c>
    </row>
    <row r="31" spans="1:16" x14ac:dyDescent="0.15">
      <c r="A31" s="46" t="str">
        <f>Costi!B80</f>
        <v xml:space="preserve">Diversi costi </v>
      </c>
      <c r="B31" s="65">
        <f t="shared" si="2"/>
        <v>0</v>
      </c>
      <c r="C31" s="65">
        <f t="shared" si="3"/>
        <v>0</v>
      </c>
      <c r="D31" s="65">
        <f t="shared" si="4"/>
        <v>0</v>
      </c>
      <c r="E31" s="65">
        <f t="shared" si="5"/>
        <v>0</v>
      </c>
      <c r="F31" s="65">
        <f t="shared" si="6"/>
        <v>0</v>
      </c>
      <c r="G31" s="65">
        <f t="shared" si="7"/>
        <v>0</v>
      </c>
      <c r="H31" s="65">
        <f t="shared" si="8"/>
        <v>0</v>
      </c>
      <c r="I31" s="65">
        <f t="shared" si="9"/>
        <v>0</v>
      </c>
      <c r="J31" s="65">
        <f t="shared" si="10"/>
        <v>0</v>
      </c>
      <c r="K31" s="65">
        <f t="shared" si="11"/>
        <v>0</v>
      </c>
      <c r="L31" s="65">
        <f t="shared" si="12"/>
        <v>0</v>
      </c>
      <c r="M31" s="65">
        <f t="shared" si="13"/>
        <v>0</v>
      </c>
      <c r="N31" s="49">
        <f>Costi!E80+Costi!E81</f>
        <v>0</v>
      </c>
      <c r="O31" s="672" t="s">
        <v>291</v>
      </c>
    </row>
    <row r="32" spans="1:16" x14ac:dyDescent="0.15">
      <c r="A32" s="1" t="str">
        <f>Costi!B85</f>
        <v>Inserzioni</v>
      </c>
      <c r="B32" s="64">
        <f t="shared" si="2"/>
        <v>0</v>
      </c>
      <c r="C32" s="64">
        <f t="shared" si="3"/>
        <v>0</v>
      </c>
      <c r="D32" s="64">
        <f t="shared" si="4"/>
        <v>0</v>
      </c>
      <c r="E32" s="64">
        <f t="shared" si="5"/>
        <v>0</v>
      </c>
      <c r="F32" s="64">
        <f t="shared" si="6"/>
        <v>0</v>
      </c>
      <c r="G32" s="64">
        <f t="shared" si="7"/>
        <v>0</v>
      </c>
      <c r="H32" s="64">
        <f t="shared" si="8"/>
        <v>0</v>
      </c>
      <c r="I32" s="64">
        <f t="shared" si="9"/>
        <v>0</v>
      </c>
      <c r="J32" s="64">
        <f t="shared" si="10"/>
        <v>0</v>
      </c>
      <c r="K32" s="64">
        <f t="shared" si="11"/>
        <v>0</v>
      </c>
      <c r="L32" s="64">
        <f t="shared" si="12"/>
        <v>0</v>
      </c>
      <c r="M32" s="64">
        <f t="shared" si="13"/>
        <v>0</v>
      </c>
      <c r="N32" s="48">
        <f>Costi!E85+Costi!E86+Costi!E87</f>
        <v>0</v>
      </c>
      <c r="O32" s="672" t="s">
        <v>297</v>
      </c>
    </row>
    <row r="33" spans="1:17" x14ac:dyDescent="0.15">
      <c r="A33" s="46" t="str">
        <f>Costi!B89</f>
        <v>Pubbliche relazioni</v>
      </c>
      <c r="B33" s="65">
        <f t="shared" si="2"/>
        <v>0</v>
      </c>
      <c r="C33" s="65">
        <f t="shared" si="3"/>
        <v>0</v>
      </c>
      <c r="D33" s="65">
        <f t="shared" si="4"/>
        <v>0</v>
      </c>
      <c r="E33" s="65">
        <f t="shared" si="5"/>
        <v>0</v>
      </c>
      <c r="F33" s="65">
        <f t="shared" si="6"/>
        <v>0</v>
      </c>
      <c r="G33" s="65">
        <f t="shared" si="7"/>
        <v>0</v>
      </c>
      <c r="H33" s="65">
        <f t="shared" si="8"/>
        <v>0</v>
      </c>
      <c r="I33" s="65">
        <f t="shared" si="9"/>
        <v>0</v>
      </c>
      <c r="J33" s="65">
        <f t="shared" si="10"/>
        <v>0</v>
      </c>
      <c r="K33" s="65">
        <f t="shared" si="11"/>
        <v>0</v>
      </c>
      <c r="L33" s="65">
        <f t="shared" si="12"/>
        <v>0</v>
      </c>
      <c r="M33" s="65">
        <f t="shared" si="13"/>
        <v>0</v>
      </c>
      <c r="N33" s="49">
        <f>Costi!E88+Costi!E89</f>
        <v>0</v>
      </c>
      <c r="O33" s="672" t="s">
        <v>291</v>
      </c>
    </row>
    <row r="34" spans="1:17" x14ac:dyDescent="0.15">
      <c r="A34" s="1" t="str">
        <f>Costi!B93</f>
        <v>Gestione CCP</v>
      </c>
      <c r="B34" s="64">
        <f t="shared" si="2"/>
        <v>0</v>
      </c>
      <c r="C34" s="64">
        <f t="shared" si="3"/>
        <v>0</v>
      </c>
      <c r="D34" s="64">
        <f t="shared" si="4"/>
        <v>0</v>
      </c>
      <c r="E34" s="64">
        <f t="shared" si="5"/>
        <v>0</v>
      </c>
      <c r="F34" s="64">
        <f t="shared" si="6"/>
        <v>0</v>
      </c>
      <c r="G34" s="64">
        <f t="shared" si="7"/>
        <v>0</v>
      </c>
      <c r="H34" s="64">
        <f t="shared" si="8"/>
        <v>0</v>
      </c>
      <c r="I34" s="64">
        <f t="shared" si="9"/>
        <v>0</v>
      </c>
      <c r="J34" s="64">
        <f t="shared" si="10"/>
        <v>0</v>
      </c>
      <c r="K34" s="64">
        <f t="shared" si="11"/>
        <v>0</v>
      </c>
      <c r="L34" s="64">
        <f t="shared" si="12"/>
        <v>0</v>
      </c>
      <c r="M34" s="64">
        <f t="shared" si="13"/>
        <v>0</v>
      </c>
      <c r="N34" s="48">
        <f>Costi!E93+Costi!E94+Costi!E95</f>
        <v>0</v>
      </c>
      <c r="O34" s="672" t="s">
        <v>303</v>
      </c>
    </row>
    <row r="35" spans="1:17" x14ac:dyDescent="0.15">
      <c r="A35" s="46" t="str">
        <f>Costi!B96</f>
        <v>Interessi passivi bancari</v>
      </c>
      <c r="B35" s="65">
        <f t="shared" si="2"/>
        <v>0</v>
      </c>
      <c r="C35" s="65">
        <f t="shared" si="3"/>
        <v>0</v>
      </c>
      <c r="D35" s="65">
        <f t="shared" si="4"/>
        <v>0</v>
      </c>
      <c r="E35" s="65">
        <f t="shared" si="5"/>
        <v>0</v>
      </c>
      <c r="F35" s="65">
        <f t="shared" si="6"/>
        <v>0</v>
      </c>
      <c r="G35" s="65">
        <f t="shared" si="7"/>
        <v>0</v>
      </c>
      <c r="H35" s="65">
        <f t="shared" si="8"/>
        <v>0</v>
      </c>
      <c r="I35" s="65">
        <f t="shared" si="9"/>
        <v>0</v>
      </c>
      <c r="J35" s="65">
        <f t="shared" si="10"/>
        <v>0</v>
      </c>
      <c r="K35" s="65">
        <f t="shared" si="11"/>
        <v>0</v>
      </c>
      <c r="L35" s="65">
        <f t="shared" si="12"/>
        <v>0</v>
      </c>
      <c r="M35" s="65">
        <f t="shared" si="13"/>
        <v>0</v>
      </c>
      <c r="N35" s="49">
        <f>Costi!E96+Costi!E101</f>
        <v>0</v>
      </c>
      <c r="O35" s="672" t="s">
        <v>299</v>
      </c>
    </row>
    <row r="36" spans="1:17" x14ac:dyDescent="0.15">
      <c r="A36" s="1" t="str">
        <f>Costi!B105</f>
        <v>Installazioni, riparazioni</v>
      </c>
      <c r="B36" s="64">
        <f t="shared" si="2"/>
        <v>0</v>
      </c>
      <c r="C36" s="64">
        <f t="shared" si="3"/>
        <v>0</v>
      </c>
      <c r="D36" s="64">
        <f t="shared" si="4"/>
        <v>0</v>
      </c>
      <c r="E36" s="64">
        <f t="shared" si="5"/>
        <v>0</v>
      </c>
      <c r="F36" s="64">
        <f t="shared" si="6"/>
        <v>0</v>
      </c>
      <c r="G36" s="64">
        <f t="shared" si="7"/>
        <v>0</v>
      </c>
      <c r="H36" s="64">
        <f t="shared" si="8"/>
        <v>0</v>
      </c>
      <c r="I36" s="64">
        <f t="shared" si="9"/>
        <v>0</v>
      </c>
      <c r="J36" s="64">
        <f t="shared" si="10"/>
        <v>0</v>
      </c>
      <c r="K36" s="64">
        <f t="shared" si="11"/>
        <v>0</v>
      </c>
      <c r="L36" s="64">
        <f t="shared" si="12"/>
        <v>0</v>
      </c>
      <c r="M36" s="64">
        <f t="shared" si="13"/>
        <v>0</v>
      </c>
      <c r="N36" s="48">
        <f>Costi!E105</f>
        <v>0</v>
      </c>
      <c r="O36" s="672" t="s">
        <v>303</v>
      </c>
    </row>
    <row r="37" spans="1:17" x14ac:dyDescent="0.15">
      <c r="A37" s="1" t="str">
        <f>Costi!B106</f>
        <v>Arredamento</v>
      </c>
      <c r="B37" s="64">
        <f t="shared" si="2"/>
        <v>0</v>
      </c>
      <c r="C37" s="64">
        <f t="shared" si="3"/>
        <v>0</v>
      </c>
      <c r="D37" s="64">
        <f t="shared" si="4"/>
        <v>0</v>
      </c>
      <c r="E37" s="64">
        <f t="shared" si="5"/>
        <v>0</v>
      </c>
      <c r="F37" s="64">
        <f t="shared" si="6"/>
        <v>0</v>
      </c>
      <c r="G37" s="64">
        <f t="shared" si="7"/>
        <v>0</v>
      </c>
      <c r="H37" s="64">
        <f t="shared" si="8"/>
        <v>0</v>
      </c>
      <c r="I37" s="64">
        <f t="shared" si="9"/>
        <v>0</v>
      </c>
      <c r="J37" s="64">
        <f t="shared" si="10"/>
        <v>0</v>
      </c>
      <c r="K37" s="64">
        <f t="shared" si="11"/>
        <v>0</v>
      </c>
      <c r="L37" s="64">
        <f t="shared" si="12"/>
        <v>0</v>
      </c>
      <c r="M37" s="64">
        <f t="shared" si="13"/>
        <v>0</v>
      </c>
      <c r="N37" s="48">
        <f>Costi!E106</f>
        <v>0</v>
      </c>
      <c r="O37" s="672" t="s">
        <v>303</v>
      </c>
    </row>
    <row r="38" spans="1:17" x14ac:dyDescent="0.15">
      <c r="A38" s="1" t="s">
        <v>56</v>
      </c>
      <c r="B38" s="64">
        <f t="shared" si="2"/>
        <v>0</v>
      </c>
      <c r="C38" s="64">
        <f t="shared" si="3"/>
        <v>0</v>
      </c>
      <c r="D38" s="64">
        <f t="shared" si="4"/>
        <v>0</v>
      </c>
      <c r="E38" s="64">
        <f t="shared" si="5"/>
        <v>0</v>
      </c>
      <c r="F38" s="64">
        <f t="shared" si="6"/>
        <v>0</v>
      </c>
      <c r="G38" s="64">
        <f t="shared" si="7"/>
        <v>0</v>
      </c>
      <c r="H38" s="64">
        <f t="shared" si="8"/>
        <v>0</v>
      </c>
      <c r="I38" s="64">
        <f t="shared" si="9"/>
        <v>0</v>
      </c>
      <c r="J38" s="64">
        <f t="shared" si="10"/>
        <v>0</v>
      </c>
      <c r="K38" s="64">
        <f t="shared" si="11"/>
        <v>0</v>
      </c>
      <c r="L38" s="64">
        <f t="shared" si="12"/>
        <v>0</v>
      </c>
      <c r="M38" s="64">
        <f t="shared" si="13"/>
        <v>0</v>
      </c>
      <c r="N38" s="48">
        <f>Costi!E44</f>
        <v>0</v>
      </c>
      <c r="O38" s="672" t="s">
        <v>291</v>
      </c>
    </row>
    <row r="39" spans="1:17" x14ac:dyDescent="0.15">
      <c r="A39" s="1" t="str">
        <f>Costi!B108</f>
        <v>Attrezzature</v>
      </c>
      <c r="B39" s="64">
        <f t="shared" si="2"/>
        <v>0</v>
      </c>
      <c r="C39" s="64">
        <f t="shared" si="3"/>
        <v>0</v>
      </c>
      <c r="D39" s="64">
        <f t="shared" si="4"/>
        <v>0</v>
      </c>
      <c r="E39" s="64">
        <f t="shared" si="5"/>
        <v>0</v>
      </c>
      <c r="F39" s="64">
        <f t="shared" si="6"/>
        <v>0</v>
      </c>
      <c r="G39" s="64">
        <f t="shared" si="7"/>
        <v>0</v>
      </c>
      <c r="H39" s="64">
        <f t="shared" si="8"/>
        <v>0</v>
      </c>
      <c r="I39" s="64">
        <f t="shared" si="9"/>
        <v>0</v>
      </c>
      <c r="J39" s="64">
        <f t="shared" si="10"/>
        <v>0</v>
      </c>
      <c r="K39" s="64">
        <f t="shared" si="11"/>
        <v>0</v>
      </c>
      <c r="L39" s="64">
        <f t="shared" si="12"/>
        <v>0</v>
      </c>
      <c r="M39" s="64">
        <f t="shared" si="13"/>
        <v>0</v>
      </c>
      <c r="N39" s="48">
        <f>Costi!E108</f>
        <v>0</v>
      </c>
      <c r="O39" s="672" t="s">
        <v>303</v>
      </c>
    </row>
    <row r="40" spans="1:17" x14ac:dyDescent="0.15">
      <c r="A40" s="46" t="str">
        <f>Costi!B109</f>
        <v xml:space="preserve">Fondazione </v>
      </c>
      <c r="B40" s="64">
        <f t="shared" si="2"/>
        <v>0</v>
      </c>
      <c r="C40" s="64">
        <f t="shared" si="3"/>
        <v>0</v>
      </c>
      <c r="D40" s="64">
        <f t="shared" si="4"/>
        <v>0</v>
      </c>
      <c r="E40" s="64">
        <f t="shared" si="5"/>
        <v>0</v>
      </c>
      <c r="F40" s="64">
        <f t="shared" si="6"/>
        <v>0</v>
      </c>
      <c r="G40" s="64">
        <f t="shared" si="7"/>
        <v>0</v>
      </c>
      <c r="H40" s="64">
        <f t="shared" si="8"/>
        <v>0</v>
      </c>
      <c r="I40" s="64">
        <f t="shared" si="9"/>
        <v>0</v>
      </c>
      <c r="J40" s="64">
        <f t="shared" si="10"/>
        <v>0</v>
      </c>
      <c r="K40" s="64">
        <f t="shared" si="11"/>
        <v>0</v>
      </c>
      <c r="L40" s="64">
        <f t="shared" si="12"/>
        <v>0</v>
      </c>
      <c r="M40" s="64">
        <f t="shared" si="13"/>
        <v>0</v>
      </c>
      <c r="N40" s="49">
        <f>Costi!E109</f>
        <v>0</v>
      </c>
      <c r="O40" s="675" t="s">
        <v>303</v>
      </c>
    </row>
    <row r="41" spans="1:17" ht="14" thickBot="1" x14ac:dyDescent="0.2">
      <c r="A41" s="134" t="str">
        <f>Costi!B112</f>
        <v>TOTALE DEI COSTI</v>
      </c>
      <c r="B41" s="135">
        <f t="shared" ref="B41:L41" si="14">SUM(B9:B40)</f>
        <v>0</v>
      </c>
      <c r="C41" s="135">
        <f t="shared" si="14"/>
        <v>0</v>
      </c>
      <c r="D41" s="135">
        <f t="shared" si="14"/>
        <v>0</v>
      </c>
      <c r="E41" s="135">
        <f t="shared" si="14"/>
        <v>0</v>
      </c>
      <c r="F41" s="135">
        <f t="shared" si="14"/>
        <v>0</v>
      </c>
      <c r="G41" s="135">
        <f t="shared" si="14"/>
        <v>0</v>
      </c>
      <c r="H41" s="135">
        <f t="shared" si="14"/>
        <v>0</v>
      </c>
      <c r="I41" s="135">
        <f t="shared" si="14"/>
        <v>0</v>
      </c>
      <c r="J41" s="135">
        <f t="shared" si="14"/>
        <v>0</v>
      </c>
      <c r="K41" s="135">
        <f t="shared" si="14"/>
        <v>0</v>
      </c>
      <c r="L41" s="135">
        <f t="shared" si="14"/>
        <v>0</v>
      </c>
      <c r="M41" s="135">
        <f>SUM(M9:M40)</f>
        <v>0</v>
      </c>
      <c r="N41" s="136">
        <f>Costi!E113+Costi!E101</f>
        <v>0</v>
      </c>
    </row>
    <row r="42" spans="1:17" ht="15" thickTop="1" thickBot="1" x14ac:dyDescent="0.2">
      <c r="A42" s="41" t="s">
        <v>311</v>
      </c>
      <c r="B42" s="137">
        <f>B7-B41</f>
        <v>0</v>
      </c>
      <c r="C42" s="137">
        <f t="shared" ref="C42:M42" si="15">B42+C7-C41</f>
        <v>0</v>
      </c>
      <c r="D42" s="137">
        <f t="shared" si="15"/>
        <v>0</v>
      </c>
      <c r="E42" s="137">
        <f t="shared" si="15"/>
        <v>0</v>
      </c>
      <c r="F42" s="137">
        <f t="shared" si="15"/>
        <v>0</v>
      </c>
      <c r="G42" s="137">
        <f t="shared" si="15"/>
        <v>0</v>
      </c>
      <c r="H42" s="137">
        <f t="shared" si="15"/>
        <v>0</v>
      </c>
      <c r="I42" s="137">
        <f t="shared" si="15"/>
        <v>0</v>
      </c>
      <c r="J42" s="137">
        <f t="shared" si="15"/>
        <v>0</v>
      </c>
      <c r="K42" s="137">
        <f t="shared" si="15"/>
        <v>0</v>
      </c>
      <c r="L42" s="137">
        <f t="shared" si="15"/>
        <v>0</v>
      </c>
      <c r="M42" s="137">
        <f t="shared" si="15"/>
        <v>0</v>
      </c>
      <c r="N42" s="673"/>
      <c r="O42" s="674"/>
    </row>
    <row r="43" spans="1:17" ht="14" thickTop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P43" s="1"/>
      <c r="Q43" s="1"/>
    </row>
    <row r="44" spans="1:17" x14ac:dyDescent="0.15">
      <c r="A44" s="720" t="s">
        <v>504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13"/>
      <c r="P44" s="1"/>
      <c r="Q44" s="1"/>
    </row>
    <row r="45" spans="1:17" ht="17" thickBo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714" t="str">
        <f>MID([1]Persona!$D$12,1,35)</f>
        <v/>
      </c>
      <c r="P45" s="1"/>
      <c r="Q45" s="1"/>
    </row>
    <row r="46" spans="1:17" ht="14" thickBot="1" x14ac:dyDescent="0.2">
      <c r="A46" s="34"/>
      <c r="B46" s="192" t="s">
        <v>312</v>
      </c>
      <c r="C46" s="192" t="s">
        <v>313</v>
      </c>
      <c r="D46" s="192" t="s">
        <v>314</v>
      </c>
      <c r="E46" s="192" t="s">
        <v>315</v>
      </c>
      <c r="F46" s="192" t="s">
        <v>316</v>
      </c>
      <c r="G46" s="192" t="s">
        <v>317</v>
      </c>
      <c r="H46" s="192" t="s">
        <v>318</v>
      </c>
      <c r="I46" s="192" t="s">
        <v>319</v>
      </c>
      <c r="J46" s="192" t="s">
        <v>320</v>
      </c>
      <c r="K46" s="192" t="s">
        <v>321</v>
      </c>
      <c r="L46" s="192" t="s">
        <v>322</v>
      </c>
      <c r="M46" s="193" t="s">
        <v>323</v>
      </c>
      <c r="N46" s="1"/>
      <c r="O46" s="1"/>
      <c r="P46" s="1"/>
      <c r="Q46" s="1"/>
    </row>
    <row r="47" spans="1:17" x14ac:dyDescent="0.15">
      <c r="A47" s="194" t="s">
        <v>324</v>
      </c>
      <c r="B47" s="191">
        <f t="shared" ref="B47:M47" si="16">B42</f>
        <v>0</v>
      </c>
      <c r="C47" s="191">
        <f t="shared" si="16"/>
        <v>0</v>
      </c>
      <c r="D47" s="191">
        <f t="shared" si="16"/>
        <v>0</v>
      </c>
      <c r="E47" s="191">
        <f t="shared" si="16"/>
        <v>0</v>
      </c>
      <c r="F47" s="191">
        <f t="shared" si="16"/>
        <v>0</v>
      </c>
      <c r="G47" s="191">
        <f t="shared" si="16"/>
        <v>0</v>
      </c>
      <c r="H47" s="191">
        <f t="shared" si="16"/>
        <v>0</v>
      </c>
      <c r="I47" s="191">
        <f t="shared" si="16"/>
        <v>0</v>
      </c>
      <c r="J47" s="191">
        <f t="shared" si="16"/>
        <v>0</v>
      </c>
      <c r="K47" s="191">
        <f t="shared" si="16"/>
        <v>0</v>
      </c>
      <c r="L47" s="191">
        <f t="shared" si="16"/>
        <v>0</v>
      </c>
      <c r="M47" s="195">
        <f t="shared" si="16"/>
        <v>0</v>
      </c>
      <c r="N47" s="1"/>
      <c r="O47" s="1"/>
      <c r="P47" s="1"/>
      <c r="Q47" s="1"/>
    </row>
    <row r="48" spans="1:17" x14ac:dyDescent="0.15">
      <c r="A48" s="194" t="s">
        <v>325</v>
      </c>
      <c r="B48" s="191">
        <f>Tes.2°!B42</f>
        <v>0</v>
      </c>
      <c r="C48" s="191">
        <f>Tes.2°!C42</f>
        <v>0</v>
      </c>
      <c r="D48" s="191">
        <f>Tes.2°!D42</f>
        <v>0</v>
      </c>
      <c r="E48" s="191">
        <f>Tes.2°!E42</f>
        <v>0</v>
      </c>
      <c r="F48" s="191">
        <f>Tes.2°!F42</f>
        <v>0</v>
      </c>
      <c r="G48" s="191">
        <f>Tes.2°!G42</f>
        <v>0</v>
      </c>
      <c r="H48" s="191">
        <f>Tes.2°!H42</f>
        <v>0</v>
      </c>
      <c r="I48" s="191">
        <f>Tes.2°!I42</f>
        <v>0</v>
      </c>
      <c r="J48" s="191">
        <f>Tes.2°!J42</f>
        <v>0</v>
      </c>
      <c r="K48" s="191">
        <f>Tes.2°!K42</f>
        <v>0</v>
      </c>
      <c r="L48" s="191">
        <f>Tes.2°!L42</f>
        <v>0</v>
      </c>
      <c r="M48" s="195">
        <f>Tes.2°!M42</f>
        <v>0</v>
      </c>
      <c r="N48" s="1"/>
      <c r="O48" s="1"/>
      <c r="P48" s="1"/>
      <c r="Q48" s="1"/>
    </row>
    <row r="49" spans="1:17" ht="14" thickBot="1" x14ac:dyDescent="0.2">
      <c r="A49" s="107" t="s">
        <v>326</v>
      </c>
      <c r="B49" s="196">
        <f>Tes.3°!B42</f>
        <v>0</v>
      </c>
      <c r="C49" s="196">
        <f>Tes.3°!C42</f>
        <v>0</v>
      </c>
      <c r="D49" s="196">
        <f>Tes.3°!D42</f>
        <v>0</v>
      </c>
      <c r="E49" s="196">
        <f>Tes.3°!E42</f>
        <v>0</v>
      </c>
      <c r="F49" s="196">
        <f>Tes.3°!F42</f>
        <v>0</v>
      </c>
      <c r="G49" s="196">
        <f>Tes.3°!G42</f>
        <v>0</v>
      </c>
      <c r="H49" s="196">
        <f>Tes.3°!H42</f>
        <v>0</v>
      </c>
      <c r="I49" s="196">
        <f>Tes.3°!I42</f>
        <v>0</v>
      </c>
      <c r="J49" s="196">
        <f>Tes.3°!J42</f>
        <v>0</v>
      </c>
      <c r="K49" s="196">
        <f>Tes.3°!K42</f>
        <v>0</v>
      </c>
      <c r="L49" s="196">
        <f>Tes.3°!L42</f>
        <v>0</v>
      </c>
      <c r="M49" s="197">
        <f>Tes.3°!M42</f>
        <v>0</v>
      </c>
      <c r="N49" s="1"/>
      <c r="O49" s="1"/>
      <c r="P49" s="1"/>
      <c r="Q49" s="1"/>
    </row>
    <row r="50" spans="1:17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88" spans="1:1" x14ac:dyDescent="0.15">
      <c r="A88" s="720" t="s">
        <v>504</v>
      </c>
    </row>
  </sheetData>
  <sheetProtection password="DB4F" sheet="1" objects="1" scenarios="1" selectLockedCells="1"/>
  <phoneticPr fontId="15" type="noConversion"/>
  <pageMargins left="0.51" right="0.46" top="0.38" bottom="0.13" header="0.17" footer="0.13"/>
  <pageSetup paperSize="9" orientation="landscape" horizontalDpi="4294967293"/>
  <headerFooter alignWithMargins="0">
    <oddHeader>&amp;L&amp;A&amp;R&amp;F</oddHeader>
    <oddFooter>&amp;CPagina &amp;P+10&amp;R&amp;D</oddFooter>
  </headerFooter>
  <ignoredErrors>
    <ignoredError sqref="G9:G40" formula="1"/>
    <ignoredError sqref="O9 O11:O21 O24:O32 O34 O36:O4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13</vt:i4>
      </vt:variant>
    </vt:vector>
  </HeadingPairs>
  <TitlesOfParts>
    <vt:vector size="26" baseType="lpstr">
      <vt:lpstr>Fondazione</vt:lpstr>
      <vt:lpstr>Fisso</vt:lpstr>
      <vt:lpstr>Circolante</vt:lpstr>
      <vt:lpstr>Necessità</vt:lpstr>
      <vt:lpstr>Costi</vt:lpstr>
      <vt:lpstr>Prezzi</vt:lpstr>
      <vt:lpstr>Commercio</vt:lpstr>
      <vt:lpstr>Produzione</vt:lpstr>
      <vt:lpstr>Tes.1°</vt:lpstr>
      <vt:lpstr>Tes.2°</vt:lpstr>
      <vt:lpstr>Tes.3°</vt:lpstr>
      <vt:lpstr>Flusso</vt:lpstr>
      <vt:lpstr>Parametri</vt:lpstr>
      <vt:lpstr>Circolante!Area_stampa</vt:lpstr>
      <vt:lpstr>Commercio!Area_stampa</vt:lpstr>
      <vt:lpstr>Costi!Area_stampa</vt:lpstr>
      <vt:lpstr>Fisso!Area_stampa</vt:lpstr>
      <vt:lpstr>Flusso!Area_stampa</vt:lpstr>
      <vt:lpstr>Fondazione!Area_stampa</vt:lpstr>
      <vt:lpstr>Necessità!Area_stampa</vt:lpstr>
      <vt:lpstr>Parametri!Area_stampa</vt:lpstr>
      <vt:lpstr>Prezzi!Area_stampa</vt:lpstr>
      <vt:lpstr>Produzione!Area_stampa</vt:lpstr>
      <vt:lpstr>Tes.1°!Area_stampa</vt:lpstr>
      <vt:lpstr>Tes.2°!Area_stampa</vt:lpstr>
      <vt:lpstr>Tes.3°!Area_stampa</vt:lpstr>
    </vt:vector>
  </TitlesOfParts>
  <Company>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Nizzola</dc:creator>
  <cp:lastModifiedBy>Microsoft Office User</cp:lastModifiedBy>
  <cp:lastPrinted>2008-12-05T12:07:54Z</cp:lastPrinted>
  <dcterms:created xsi:type="dcterms:W3CDTF">2003-08-05T12:21:41Z</dcterms:created>
  <dcterms:modified xsi:type="dcterms:W3CDTF">2021-06-20T16:15:02Z</dcterms:modified>
</cp:coreProperties>
</file>